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5年度\03_入所・給付係\01_教育・保育給付\5_加算認定\R5\記載例\"/>
    </mc:Choice>
  </mc:AlternateContent>
  <bookViews>
    <workbookView xWindow="0" yWindow="0" windowWidth="20175" windowHeight="7500" tabRatio="700" activeTab="1"/>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①基本情報!$A$1:$J$26</definedName>
    <definedName name="_xlnm.Print_Area" localSheetId="1">②児童名簿!$A$1:$H$47</definedName>
    <definedName name="_xlnm.Print_Area" localSheetId="2">③職員名簿!$A$1:$P$38</definedName>
    <definedName name="_xlnm.Print_Area" localSheetId="3">④加算!$A$1:$I$38</definedName>
    <definedName name="_xlnm.Print_Area" localSheetId="4">⑤集計表!$A$1:$P$47</definedName>
    <definedName name="_xlnm.Print_Area" localSheetId="6">各加算の関係性!$A$1:$AE$55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6" i="2" l="1"/>
  <c r="N4" i="2" l="1"/>
  <c r="P28" i="2"/>
  <c r="P29" i="2"/>
  <c r="P30" i="2"/>
  <c r="P31" i="2"/>
  <c r="P32" i="2"/>
  <c r="P33" i="2"/>
  <c r="P34" i="2"/>
  <c r="P35" i="2"/>
  <c r="P36" i="2"/>
  <c r="P37" i="2"/>
  <c r="P38" i="2"/>
  <c r="P27" i="2"/>
  <c r="P24" i="2"/>
  <c r="P21" i="2"/>
  <c r="P22" i="2"/>
  <c r="P20" i="2"/>
  <c r="P13" i="2"/>
  <c r="P14" i="2"/>
  <c r="P15" i="2"/>
  <c r="P16" i="2"/>
  <c r="P17" i="2"/>
  <c r="P18" i="2"/>
  <c r="P11" i="2"/>
  <c r="P12" i="2"/>
  <c r="X36" i="2" l="1"/>
  <c r="X37" i="2"/>
  <c r="X38" i="2"/>
  <c r="X27" i="2"/>
  <c r="X28" i="2"/>
  <c r="X29" i="2"/>
  <c r="X30" i="2"/>
  <c r="X31" i="2"/>
  <c r="X32" i="2"/>
  <c r="X33" i="2"/>
  <c r="X34" i="2"/>
  <c r="X35" i="2"/>
  <c r="B38" i="2"/>
  <c r="B28" i="2"/>
  <c r="B29" i="2"/>
  <c r="B30" i="2"/>
  <c r="B31" i="2"/>
  <c r="B32" i="2"/>
  <c r="B33" i="2"/>
  <c r="B34" i="2"/>
  <c r="B35" i="2"/>
  <c r="B36" i="2"/>
  <c r="B37" i="2"/>
  <c r="B27" i="2"/>
  <c r="O2" i="4" l="1"/>
  <c r="I2" i="3"/>
  <c r="P2" i="2"/>
  <c r="H2" i="1"/>
  <c r="J2" i="5"/>
  <c r="A1" i="5" l="1"/>
  <c r="B1" i="4" s="1"/>
  <c r="A1" i="2" l="1"/>
  <c r="A1" i="3"/>
  <c r="O3" i="3" l="1"/>
  <c r="N3" i="3" l="1"/>
  <c r="J23" i="5"/>
  <c r="J22" i="5"/>
  <c r="L3" i="3" l="1"/>
  <c r="K3" i="3" s="1"/>
  <c r="H11" i="3" s="1"/>
  <c r="AA13" i="2"/>
  <c r="AD13" i="2" s="1"/>
  <c r="AB15" i="2" l="1"/>
  <c r="AC14" i="2"/>
  <c r="AB14" i="2"/>
  <c r="AA15" i="2"/>
  <c r="AA14" i="2"/>
  <c r="AA12" i="2"/>
  <c r="AD12" i="2" s="1"/>
  <c r="AE13" i="2" s="1"/>
  <c r="M27" i="4" s="1"/>
  <c r="N27" i="4" s="1"/>
  <c r="AA11" i="2"/>
  <c r="AD11" i="2" s="1"/>
  <c r="H43" i="4" s="1"/>
  <c r="F33" i="4"/>
  <c r="F34" i="4"/>
  <c r="F32" i="4"/>
  <c r="F31" i="4"/>
  <c r="F30" i="4"/>
  <c r="F29" i="4"/>
  <c r="F28" i="4"/>
  <c r="F25" i="4"/>
  <c r="F22" i="4"/>
  <c r="F21" i="4"/>
  <c r="B22" i="4"/>
  <c r="B25" i="4"/>
  <c r="AD15" i="2" l="1"/>
  <c r="H45" i="4" s="1"/>
  <c r="AD14" i="2"/>
  <c r="H44" i="4" s="1"/>
  <c r="B8" i="1"/>
  <c r="B9" i="1"/>
  <c r="B10" i="1"/>
  <c r="B11" i="1"/>
  <c r="B12" i="1"/>
  <c r="B13" i="1"/>
  <c r="B14" i="1"/>
  <c r="B15" i="1"/>
  <c r="B16" i="1"/>
  <c r="B17" i="1"/>
  <c r="B18" i="1"/>
  <c r="B19" i="1"/>
  <c r="B20" i="1"/>
  <c r="B21" i="1"/>
  <c r="B22" i="1"/>
  <c r="B23" i="1"/>
  <c r="B24" i="1"/>
  <c r="B25" i="1"/>
  <c r="M9" i="1" s="1"/>
  <c r="B26" i="1"/>
  <c r="B27" i="1"/>
  <c r="B28" i="1"/>
  <c r="B29" i="1"/>
  <c r="B30" i="1"/>
  <c r="B31" i="1"/>
  <c r="B32" i="1"/>
  <c r="B33" i="1"/>
  <c r="B34" i="1"/>
  <c r="B35" i="1"/>
  <c r="B36" i="1"/>
  <c r="B37" i="1"/>
  <c r="B38" i="1"/>
  <c r="B39" i="1"/>
  <c r="B40" i="1"/>
  <c r="B41" i="1"/>
  <c r="B42" i="1"/>
  <c r="B43" i="1"/>
  <c r="B44" i="1"/>
  <c r="B45" i="1"/>
  <c r="B46" i="1"/>
  <c r="B47" i="1"/>
  <c r="C45" i="4" l="1"/>
  <c r="N15" i="1"/>
  <c r="O15" i="1"/>
  <c r="M15" i="1"/>
  <c r="L15" i="1"/>
  <c r="P15" i="1"/>
  <c r="K15" i="1"/>
  <c r="P9" i="1"/>
  <c r="N9" i="1"/>
  <c r="O9" i="1"/>
  <c r="A1" i="1"/>
  <c r="Q15" i="1" l="1"/>
  <c r="M24" i="3" s="1"/>
  <c r="N2" i="5"/>
  <c r="B21" i="4" l="1"/>
  <c r="C11" i="3"/>
  <c r="L40" i="4"/>
  <c r="M40" i="4" s="1"/>
  <c r="N4" i="5"/>
  <c r="O4" i="3" s="1"/>
  <c r="N4" i="3" s="1"/>
  <c r="L4" i="3" s="1"/>
  <c r="K4" i="3" s="1"/>
  <c r="H22" i="3" s="1"/>
  <c r="H14" i="4"/>
  <c r="N4" i="4"/>
  <c r="B13" i="4"/>
  <c r="B12" i="4"/>
  <c r="O2" i="3" l="1"/>
  <c r="J22" i="2"/>
  <c r="J21" i="2"/>
  <c r="J20" i="2"/>
  <c r="B11" i="4" l="1"/>
  <c r="B10" i="4"/>
  <c r="M24" i="4" s="1"/>
  <c r="B9" i="4"/>
  <c r="F20" i="4"/>
  <c r="F19" i="4"/>
  <c r="B19" i="4"/>
  <c r="B24" i="4"/>
  <c r="B23" i="4"/>
  <c r="B20" i="4"/>
  <c r="Q9" i="1"/>
  <c r="J38" i="2"/>
  <c r="J18" i="2"/>
  <c r="Y8" i="2"/>
  <c r="J13" i="2" s="1"/>
  <c r="J14" i="2" l="1"/>
  <c r="J12" i="2"/>
  <c r="J24" i="2"/>
  <c r="J15" i="2"/>
  <c r="M10" i="1"/>
  <c r="J31" i="2"/>
  <c r="J34" i="2"/>
  <c r="J30" i="2"/>
  <c r="J33" i="2"/>
  <c r="J36" i="2"/>
  <c r="J35" i="2"/>
  <c r="J37" i="2"/>
  <c r="J29" i="2"/>
  <c r="J32" i="2"/>
  <c r="C14" i="4"/>
  <c r="K10" i="1"/>
  <c r="L10" i="1"/>
  <c r="J16" i="2"/>
  <c r="J28" i="2"/>
  <c r="J17" i="2"/>
  <c r="J11" i="2"/>
  <c r="J27" i="2"/>
  <c r="B4" i="4"/>
  <c r="Z28" i="2" l="1"/>
  <c r="Z29" i="2"/>
  <c r="Z31" i="2"/>
  <c r="Z32" i="2"/>
  <c r="AA32" i="2"/>
  <c r="AA29" i="2"/>
  <c r="AB29" i="2" s="1"/>
  <c r="K11" i="1"/>
  <c r="Q10" i="1"/>
  <c r="O11" i="1"/>
  <c r="O19" i="1" s="1"/>
  <c r="P11" i="1"/>
  <c r="P19" i="1" s="1"/>
  <c r="M11" i="1"/>
  <c r="M19" i="1" s="1"/>
  <c r="L11" i="1"/>
  <c r="L19" i="1" s="1"/>
  <c r="N11" i="1"/>
  <c r="N19" i="1" s="1"/>
  <c r="L36" i="4" s="1"/>
  <c r="M36" i="4" s="1"/>
  <c r="A3" i="3"/>
  <c r="A6" i="3"/>
  <c r="AA31" i="2" l="1"/>
  <c r="C6" i="2"/>
  <c r="D6" i="2"/>
  <c r="AA28" i="2"/>
  <c r="D7" i="2"/>
  <c r="C7" i="2"/>
  <c r="AC29" i="2"/>
  <c r="J7" i="2" s="1"/>
  <c r="AB32" i="2"/>
  <c r="L12" i="4"/>
  <c r="M12" i="4" s="1"/>
  <c r="K19" i="1"/>
  <c r="L37" i="4"/>
  <c r="M37" i="4" s="1"/>
  <c r="L35" i="4"/>
  <c r="M35" i="4" s="1"/>
  <c r="L15" i="4"/>
  <c r="M15" i="4" s="1"/>
  <c r="K8" i="4"/>
  <c r="L13" i="4"/>
  <c r="M13" i="4" s="1"/>
  <c r="O8" i="4"/>
  <c r="Q11" i="1"/>
  <c r="L14" i="4"/>
  <c r="AC32" i="2" l="1"/>
  <c r="J6" i="2" s="1"/>
  <c r="L34" i="4"/>
  <c r="M34" i="4" s="1"/>
  <c r="M41" i="4" s="1"/>
  <c r="M43" i="4" s="1"/>
  <c r="Q19" i="1"/>
  <c r="M14" i="4"/>
  <c r="M16" i="4" s="1"/>
  <c r="M18" i="4" s="1"/>
  <c r="G4" i="1"/>
  <c r="A4" i="2"/>
  <c r="A4" i="1"/>
  <c r="M45" i="4" l="1"/>
  <c r="O9" i="4"/>
  <c r="E17" i="5"/>
  <c r="R9" i="1" s="1"/>
  <c r="O18" i="4" l="1"/>
  <c r="M20" i="4" s="1"/>
  <c r="O27" i="4" l="1"/>
  <c r="M29" i="4" l="1"/>
  <c r="L7" i="3" s="1"/>
  <c r="K7" i="3" s="1"/>
  <c r="Q2" i="3" s="1"/>
  <c r="O45" i="4"/>
  <c r="K47" i="4" l="1"/>
  <c r="P2" i="3"/>
  <c r="N2" i="3" s="1"/>
  <c r="L2" i="3" s="1"/>
  <c r="K2" i="3" s="1"/>
  <c r="D11" i="3" s="1"/>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≪小規模保育事業A型・B型≫
Ⅵ 特定加算部分</t>
        </r>
        <r>
          <rPr>
            <sz val="8"/>
            <color indexed="81"/>
            <rFont val="MS P ゴシック"/>
            <family val="3"/>
            <charset val="128"/>
          </rPr>
          <t xml:space="preserve">
５．施設機能強化推進費加算（㉓）
（１）加算の要件
　事業所における火災・地震等の災害時に備え、職員等の防災教育及び災害発生時の安全かつ、迅速な避難誘導体制を充実する等の事業所の総合的な防災対策を図る取組（注１・注２・注３）を行う事業所で、以下の事業等を複数実施する事業所に加算する。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乳児が３人以上利用している施設（４月から11月までの各月初日を平均して乳児が３人以上利用していること。）
ⅴ 障害児（軽度障害児を含む。）（注４）が１人以上利用している施設（４月から11月までの間に１人以上の障害児の利用があること。）
（注１）取組の実施方法の例示
　ⅰ 地域住民等への防災支援協力体制の整備及び合同避難訓練等を実施する。
　ⅱ 職員等への防災教育、訓練の実施及び避難具の整備を促進する。
（注２）取組に必要となる経費の額
　取組に必要となる経費の総額が、概ね16万円以上見込まれること。
（注３）支出対象経費
　需用費（消耗品費、燃料費、印刷製本費、修繕費、食糧費（茶菓）、光熱水費、医療材料費）・役務費（通信運搬費）・旅費・謝金・備品購入費・原材料費・使用料及び賃借料・賃金・委託費（防災訓練及び避難具の整備等に要する特別の経費に限り、保育の提供に当たって、通常要する費用は含まない。）
（注４）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 ref="H7" authorId="0" shapeId="0">
      <text>
        <r>
          <rPr>
            <b/>
            <sz val="9"/>
            <color indexed="81"/>
            <rFont val="MS P ゴシック"/>
            <family val="3"/>
            <charset val="128"/>
          </rPr>
          <t>特記事項がある場合は明記してください。
また、事業所内保育事業において、従業員枠の児童の場合、その旨を明記してください。</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9"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D11"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ⅰ 管理者　１人
（注）管理者は児童福祉事業等に２年以上従事した者又はこれと同等以上の能力を有すると認められる者で、常時実際にその事業所の運営管理の業務に専従し、かつ給付費からの給与支出がある者とする。
＜児童福祉事業等に従事した者の例示＞
　児童福祉施設の職員、幼稚園・小学校等における教諭、市町村等の公的機関において児童福祉に関する事務を取り扱う部局の職員、民生委員・児童委員の他、教育・保育施設又は地域型保育事業に移行した施設・事業所における移行前の認可外保育施設の職員等
＜同等以上の能力を有すると認められる者の例示＞
　公的機関等の実施する施設長研修等を受講した者等
</t>
        </r>
      </text>
    </comment>
    <comment ref="B12"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ⅱ その他（※）
　ａ </t>
        </r>
        <r>
          <rPr>
            <b/>
            <u/>
            <sz val="9"/>
            <color indexed="81"/>
            <rFont val="MS P ゴシック"/>
            <family val="3"/>
            <charset val="128"/>
          </rPr>
          <t>保育標準時間認定を受けた子どもが利用する事業所については非常勤保育従事者１人（小規模保育事業Ａ型にあっては保育士）</t>
        </r>
        <r>
          <rPr>
            <sz val="9"/>
            <color indexed="81"/>
            <rFont val="MS P ゴシック"/>
            <family val="3"/>
            <charset val="128"/>
          </rPr>
          <t xml:space="preserve">
</t>
        </r>
      </text>
    </comment>
    <comment ref="B1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t>
        </r>
        <r>
          <rPr>
            <b/>
            <u/>
            <sz val="9"/>
            <color indexed="81"/>
            <rFont val="MS P ゴシック"/>
            <family val="3"/>
            <charset val="128"/>
          </rPr>
          <t>これとは別に非常勤の保育従事者（小規模保育事業Ａ型にあっては保育士）が配
置されていること</t>
        </r>
        <r>
          <rPr>
            <sz val="9"/>
            <color indexed="81"/>
            <rFont val="MS P ゴシック"/>
            <family val="3"/>
            <charset val="128"/>
          </rPr>
          <t xml:space="preserve">。
</t>
        </r>
      </text>
    </comment>
    <comment ref="B14"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ⅱ 非常勤調理員等（注）
（注）調理業務の全部を委託する場合、または搬入施設から食事を搬入する場合は、調理員を置かないことができる。
</t>
        </r>
      </text>
    </comment>
    <comment ref="C14" authorId="0" shapeId="0">
      <text>
        <r>
          <rPr>
            <b/>
            <sz val="9"/>
            <color indexed="81"/>
            <rFont val="MS P ゴシック"/>
            <family val="3"/>
            <charset val="128"/>
          </rPr>
          <t>外部搬入をしている場合は「外部搬入」を、外部搬入をしておらず、委託をしている場合は「委託」を、選択してください。</t>
        </r>
      </text>
    </comment>
    <comment ref="I14" authorId="0" shapeId="0">
      <text>
        <r>
          <rPr>
            <b/>
            <sz val="9"/>
            <color indexed="81"/>
            <rFont val="MS P ゴシック"/>
            <family val="3"/>
            <charset val="128"/>
          </rPr>
          <t>外部搬入又は委託の場合は空欄にしてください</t>
        </r>
      </text>
    </comment>
    <comment ref="B15"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ⅲ 非常勤事務職員（注）
（注）管理者等の職員が兼務する場合又は業務委託する場合は、配置は不要であること。
</t>
        </r>
      </text>
    </comment>
    <comment ref="C15" authorId="0" shapeId="0">
      <text>
        <r>
          <rPr>
            <b/>
            <sz val="9"/>
            <color indexed="81"/>
            <rFont val="MS P ゴシック"/>
            <family val="3"/>
            <charset val="128"/>
          </rPr>
          <t>管理者等が兼務する場合は「管理者等兼務」を選択してください</t>
        </r>
      </text>
    </comment>
    <comment ref="I15" authorId="0" shapeId="0">
      <text>
        <r>
          <rPr>
            <b/>
            <sz val="9"/>
            <color indexed="81"/>
            <rFont val="MS P ゴシック"/>
            <family val="3"/>
            <charset val="128"/>
          </rPr>
          <t>管理者等兼務の場合は空欄にしてください</t>
        </r>
      </text>
    </comment>
    <comment ref="C24"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Ⅱ 基本部分</t>
        </r>
        <r>
          <rPr>
            <sz val="9"/>
            <color indexed="81"/>
            <rFont val="MS P ゴシック"/>
            <family val="3"/>
            <charset val="128"/>
          </rPr>
          <t xml:space="preserve">
１．基本分単価（⑥）
（２）基本分単価に含まれる職員構成
（ア）保育従事者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t>
        </r>
        <r>
          <rPr>
            <b/>
            <sz val="9"/>
            <color indexed="81"/>
            <rFont val="MS P ゴシック"/>
            <family val="3"/>
            <charset val="128"/>
          </rPr>
          <t>｛１、２歳児数×1/6（小数点第１位まで計算（小数点第２位以下切り捨て））｝＋｛乳児数×1/3（同）｝＋１＝配置基準上保育士数（小数点以下四捨五入）</t>
        </r>
        <r>
          <rPr>
            <sz val="9"/>
            <color indexed="81"/>
            <rFont val="MS P ゴシック"/>
            <family val="3"/>
            <charset val="128"/>
          </rPr>
          <t xml:space="preserve">
</t>
        </r>
      </text>
    </comment>
    <comment ref="M24"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4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Ⅲ 基本加算部分</t>
        </r>
        <r>
          <rPr>
            <sz val="9"/>
            <color indexed="81"/>
            <rFont val="MS P ゴシック"/>
            <family val="3"/>
            <charset val="128"/>
          </rPr>
          <t xml:space="preserve">
３．障害児保育加算（⑨）
（１）加算の要件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t>
        </r>
        <r>
          <rPr>
            <b/>
            <sz val="9"/>
            <color indexed="81"/>
            <rFont val="MS P ゴシック"/>
            <family val="3"/>
            <charset val="128"/>
          </rPr>
          <t>｛１、２歳児数（障害児を除く）×1/6（小数点第１位まで計算（小数点第２位以下切り捨て））｝＋｛乳児数（同）×1/3（同）｝＋｛障害児数×1/2（同）｝＋１＝配置基準上保育士・保育従事者数（小数点以下四捨五入）</t>
        </r>
      </text>
    </comment>
  </commentList>
</comments>
</file>

<file path=xl/sharedStrings.xml><?xml version="1.0" encoding="utf-8"?>
<sst xmlns="http://schemas.openxmlformats.org/spreadsheetml/2006/main" count="386" uniqueCount="251">
  <si>
    <t>0歳児</t>
    <rPh sb="1" eb="3">
      <t>サイジ</t>
    </rPh>
    <phoneticPr fontId="1"/>
  </si>
  <si>
    <t>1歳児</t>
    <rPh sb="1" eb="3">
      <t>サイジ</t>
    </rPh>
    <phoneticPr fontId="1"/>
  </si>
  <si>
    <t>2歳児</t>
    <rPh sb="1" eb="3">
      <t>サイジ</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</si>
  <si>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</si>
  <si>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</si>
  <si>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</si>
  <si>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</si>
  <si>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</si>
  <si>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</si>
  <si>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</si>
  <si>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</si>
  <si>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</si>
  <si>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</si>
  <si>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</si>
  <si>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</si>
  <si>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</si>
  <si>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</si>
  <si>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</si>
  <si>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</si>
  <si>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</si>
  <si>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</si>
  <si>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</si>
  <si>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</si>
  <si>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</si>
  <si>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</si>
  <si>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</si>
  <si>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※初日時点で就労している職員が対象</t>
    <rPh sb="1" eb="3">
      <t>ショニチ</t>
    </rPh>
    <rPh sb="3" eb="5">
      <t>ジテン</t>
    </rPh>
    <rPh sb="6" eb="8">
      <t>シュウロウ</t>
    </rPh>
    <rPh sb="12" eb="14">
      <t>ショクイン</t>
    </rPh>
    <rPh sb="15" eb="17">
      <t>タイショウ</t>
    </rPh>
    <phoneticPr fontId="1"/>
  </si>
  <si>
    <t>処遇改善等加算Ⅰ</t>
    <rPh sb="0" eb="2">
      <t>ショグウ</t>
    </rPh>
    <rPh sb="2" eb="4">
      <t>カイゼン</t>
    </rPh>
    <rPh sb="4" eb="5">
      <t>トウ</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</si>
  <si>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</si>
  <si>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</si>
  <si>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</si>
  <si>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</si>
  <si>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</si>
  <si>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</si>
  <si>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</si>
  <si>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</si>
  <si>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</si>
  <si>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</si>
  <si>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</si>
  <si>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</si>
  <si>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</si>
  <si>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</si>
  <si>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</si>
  <si>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</si>
  <si>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</si>
  <si>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</si>
  <si>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</si>
  <si>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</si>
  <si>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</si>
  <si>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</si>
  <si>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</si>
  <si>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</si>
  <si>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</si>
  <si>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</si>
  <si>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〇</t>
  </si>
  <si>
    <t>常勤時間</t>
    <rPh sb="0" eb="2">
      <t>ジョウキン</t>
    </rPh>
    <rPh sb="2" eb="4">
      <t>ジカン</t>
    </rPh>
    <phoneticPr fontId="1"/>
  </si>
  <si>
    <t>用務員</t>
    <rPh sb="0" eb="3">
      <t>ヨウムイン</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</si>
  <si>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</si>
  <si>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</si>
  <si>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</si>
  <si>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保育士</t>
    <rPh sb="0" eb="3">
      <t>ホイクシ</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</si>
  <si>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</si>
  <si>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</si>
  <si>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</si>
  <si>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【基本配置】</t>
    <rPh sb="1" eb="3">
      <t>キホン</t>
    </rPh>
    <rPh sb="3" eb="5">
      <t>ハイチ</t>
    </rPh>
    <phoneticPr fontId="1"/>
  </si>
  <si>
    <t>処遇Ⅰ</t>
    <rPh sb="0" eb="2">
      <t>ショグウ</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</si>
  <si>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</si>
  <si>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</si>
  <si>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</si>
  <si>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</si>
  <si>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</si>
  <si>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</si>
  <si>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</si>
  <si>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t>
    <rPh sb="0" eb="2">
      <t>コソダ</t>
    </rPh>
    <rPh sb="3" eb="5">
      <t>シエン</t>
    </rPh>
    <rPh sb="6" eb="8">
      <t>トリク</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</si>
  <si>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</si>
  <si>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</si>
  <si>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</si>
  <si>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</si>
  <si>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栄養管理</t>
    <rPh sb="0" eb="2">
      <t>エイヨウ</t>
    </rPh>
    <rPh sb="2" eb="4">
      <t>カンリ</t>
    </rPh>
    <phoneticPr fontId="1"/>
  </si>
  <si>
    <t>第三評価</t>
    <rPh sb="0" eb="1">
      <t>ダイ</t>
    </rPh>
    <rPh sb="1" eb="2">
      <t>サン</t>
    </rPh>
    <rPh sb="2" eb="4">
      <t>ヒョウカ</t>
    </rPh>
    <phoneticPr fontId="1"/>
  </si>
  <si>
    <t>機能強化</t>
    <rPh sb="0" eb="2">
      <t>キノウ</t>
    </rPh>
    <rPh sb="2" eb="4">
      <t>キョウカ</t>
    </rPh>
    <phoneticPr fontId="1"/>
  </si>
  <si>
    <t>土曜閉園</t>
    <rPh sb="0" eb="2">
      <t>ドヨウ</t>
    </rPh>
    <rPh sb="2" eb="3">
      <t>シ</t>
    </rPh>
    <rPh sb="3" eb="4">
      <t>エン</t>
    </rPh>
    <phoneticPr fontId="1"/>
  </si>
  <si>
    <t>栄養管理加算</t>
    <phoneticPr fontId="1"/>
  </si>
  <si>
    <t>一般型一時預かり事業</t>
    <rPh sb="0" eb="2">
      <t>イッパン</t>
    </rPh>
    <rPh sb="2" eb="3">
      <t>ガタ</t>
    </rPh>
    <rPh sb="3" eb="5">
      <t>イチジ</t>
    </rPh>
    <rPh sb="5" eb="6">
      <t>アズ</t>
    </rPh>
    <rPh sb="8" eb="10">
      <t>ジギョウ</t>
    </rPh>
    <phoneticPr fontId="1"/>
  </si>
  <si>
    <t>施設機能強化加算判定用</t>
    <rPh sb="0" eb="2">
      <t>シセツ</t>
    </rPh>
    <rPh sb="2" eb="4">
      <t>キノウ</t>
    </rPh>
    <rPh sb="4" eb="6">
      <t>キョウカ</t>
    </rPh>
    <rPh sb="6" eb="8">
      <t>カサン</t>
    </rPh>
    <rPh sb="8" eb="11">
      <t>ハンテイヨウ</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</si>
  <si>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</si>
  <si>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</si>
  <si>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</si>
  <si>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※3</t>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</si>
  <si>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</si>
  <si>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</si>
  <si>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</si>
  <si>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年齢別配置基準を</t>
    <rPh sb="0" eb="2">
      <t>ネンレイ</t>
    </rPh>
    <rPh sb="2" eb="3">
      <t>ベツ</t>
    </rPh>
    <rPh sb="3" eb="5">
      <t>ハイチ</t>
    </rPh>
    <rPh sb="5" eb="7">
      <t>キジュン</t>
    </rPh>
    <phoneticPr fontId="1"/>
  </si>
  <si>
    <t>３号認定</t>
  </si>
  <si>
    <t>２号認定</t>
    <rPh sb="1" eb="2">
      <t>ゴウ</t>
    </rPh>
    <rPh sb="2" eb="4">
      <t>ニンテイ</t>
    </rPh>
    <phoneticPr fontId="1"/>
  </si>
  <si>
    <t>３号認定</t>
    <rPh sb="1" eb="2">
      <t>ゴウ</t>
    </rPh>
    <rPh sb="2" eb="4">
      <t>ニンテイ</t>
    </rPh>
    <phoneticPr fontId="1"/>
  </si>
  <si>
    <t>Ver.</t>
    <phoneticPr fontId="1"/>
  </si>
  <si>
    <t>Release</t>
    <phoneticPr fontId="1"/>
  </si>
  <si>
    <t>Detail</t>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</si>
  <si>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</si>
  <si>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</si>
  <si>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</si>
  <si>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</si>
  <si>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</si>
  <si>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</si>
  <si>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</si>
  <si>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</si>
  <si>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</si>
  <si>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</si>
  <si>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</si>
  <si>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</si>
  <si>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</si>
  <si>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</si>
  <si>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</si>
  <si>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事業類型</t>
    <rPh sb="0" eb="2">
      <t>ジギョウ</t>
    </rPh>
    <rPh sb="2" eb="4">
      <t>ルイケイ</t>
    </rPh>
    <phoneticPr fontId="1"/>
  </si>
  <si>
    <t>非常勤調理員等は、非常勤の調理員を配置すること。ただし、外部搬入又は委託の場合は配置は配置不要。</t>
    <rPh sb="0" eb="3">
      <t>ヒジョウキン</t>
    </rPh>
    <rPh sb="3" eb="6">
      <t>チョウリイン</t>
    </rPh>
    <rPh sb="6" eb="7">
      <t>トウ</t>
    </rPh>
    <rPh sb="13" eb="16">
      <t>チョウリイン</t>
    </rPh>
    <rPh sb="40" eb="42">
      <t>ハイチ</t>
    </rPh>
    <rPh sb="43" eb="45">
      <t>ハイチ</t>
    </rPh>
    <phoneticPr fontId="1"/>
  </si>
  <si>
    <t>非常勤事務職員は、管理者等が兼務する場合や業務委託する場合は配置は不要。</t>
    <rPh sb="0" eb="3">
      <t>ヒジョウキン</t>
    </rPh>
    <rPh sb="3" eb="5">
      <t>ジム</t>
    </rPh>
    <rPh sb="5" eb="7">
      <t>ショクイン</t>
    </rPh>
    <rPh sb="9" eb="12">
      <t>カンリシャ</t>
    </rPh>
    <rPh sb="12" eb="13">
      <t>トウ</t>
    </rPh>
    <rPh sb="14" eb="16">
      <t>ケンム</t>
    </rPh>
    <rPh sb="18" eb="20">
      <t>バアイ</t>
    </rPh>
    <rPh sb="21" eb="23">
      <t>ギョウム</t>
    </rPh>
    <rPh sb="23" eb="25">
      <t>イタク</t>
    </rPh>
    <rPh sb="27" eb="29">
      <t>バアイ</t>
    </rPh>
    <rPh sb="30" eb="32">
      <t>ハイチ</t>
    </rPh>
    <rPh sb="33" eb="35">
      <t>フヨウ</t>
    </rPh>
    <phoneticPr fontId="1"/>
  </si>
  <si>
    <t>子育て支援の取組み</t>
    <rPh sb="0" eb="2">
      <t>コソダ</t>
    </rPh>
    <rPh sb="3" eb="5">
      <t>シエン</t>
    </rPh>
    <rPh sb="6" eb="8">
      <t>トリクミ</t>
    </rPh>
    <phoneticPr fontId="1"/>
  </si>
  <si>
    <t>利用定員</t>
    <rPh sb="0" eb="2">
      <t>リヨウ</t>
    </rPh>
    <rPh sb="2" eb="4">
      <t>テイイン</t>
    </rPh>
    <phoneticPr fontId="1"/>
  </si>
  <si>
    <t>利用定員</t>
    <rPh sb="0" eb="2">
      <t>リヨウ</t>
    </rPh>
    <rPh sb="2" eb="4">
      <t>テイイン</t>
    </rPh>
    <phoneticPr fontId="1"/>
  </si>
  <si>
    <t>管理者（園長等）</t>
    <rPh sb="0" eb="3">
      <t>カンリシャ</t>
    </rPh>
    <rPh sb="4" eb="6">
      <t>エンチョウ</t>
    </rPh>
    <rPh sb="6" eb="7">
      <t>ナド</t>
    </rPh>
    <phoneticPr fontId="1"/>
  </si>
  <si>
    <t>【基本配置】
非常勤事務職員</t>
    <rPh sb="1" eb="3">
      <t>キホン</t>
    </rPh>
    <rPh sb="3" eb="5">
      <t>ハイチ</t>
    </rPh>
    <rPh sb="7" eb="10">
      <t>ヒジョウキン</t>
    </rPh>
    <rPh sb="10" eb="12">
      <t>ジム</t>
    </rPh>
    <rPh sb="12" eb="14">
      <t>ショクイン</t>
    </rPh>
    <phoneticPr fontId="1"/>
  </si>
  <si>
    <t>【基本配置】
非常勤調理員等</t>
    <rPh sb="1" eb="3">
      <t>キホン</t>
    </rPh>
    <rPh sb="3" eb="5">
      <t>ハイチ</t>
    </rPh>
    <rPh sb="7" eb="10">
      <t>ヒジョウキン</t>
    </rPh>
    <rPh sb="10" eb="13">
      <t>チョウリイン</t>
    </rPh>
    <rPh sb="13" eb="14">
      <t>トウ</t>
    </rPh>
    <phoneticPr fontId="1"/>
  </si>
  <si>
    <t>【基本配置】
非常勤保育従事者
（保育標準時間対応）</t>
    <rPh sb="1" eb="3">
      <t>キホン</t>
    </rPh>
    <rPh sb="3" eb="5">
      <t>ハイチ</t>
    </rPh>
    <rPh sb="7" eb="10">
      <t>ヒジョウキン</t>
    </rPh>
    <rPh sb="10" eb="12">
      <t>ホイク</t>
    </rPh>
    <rPh sb="12" eb="15">
      <t>ジュウジシャ</t>
    </rPh>
    <rPh sb="17" eb="19">
      <t>ホイク</t>
    </rPh>
    <rPh sb="19" eb="21">
      <t>ヒョウジュン</t>
    </rPh>
    <rPh sb="21" eb="23">
      <t>ジカン</t>
    </rPh>
    <rPh sb="23" eb="25">
      <t>タイオウ</t>
    </rPh>
    <phoneticPr fontId="1"/>
  </si>
  <si>
    <t>障害児保育
加算対象者</t>
    <rPh sb="0" eb="2">
      <t>ショウガイ</t>
    </rPh>
    <rPh sb="2" eb="3">
      <t>ジ</t>
    </rPh>
    <rPh sb="3" eb="5">
      <t>ホイク</t>
    </rPh>
    <rPh sb="6" eb="8">
      <t>カサン</t>
    </rPh>
    <rPh sb="8" eb="11">
      <t>タイショウシャ</t>
    </rPh>
    <phoneticPr fontId="1"/>
  </si>
  <si>
    <t>保育士比率向上加算</t>
    <rPh sb="0" eb="3">
      <t>ホイクシ</t>
    </rPh>
    <rPh sb="3" eb="5">
      <t>ヒリツ</t>
    </rPh>
    <rPh sb="5" eb="7">
      <t>コウジョウ</t>
    </rPh>
    <rPh sb="7" eb="9">
      <t>カサン</t>
    </rPh>
    <phoneticPr fontId="1"/>
  </si>
  <si>
    <t>障害児保育加算</t>
    <rPh sb="0" eb="2">
      <t>ショウガイ</t>
    </rPh>
    <rPh sb="2" eb="3">
      <t>ジ</t>
    </rPh>
    <rPh sb="3" eb="5">
      <t>ホイク</t>
    </rPh>
    <rPh sb="5" eb="7">
      <t>カサン</t>
    </rPh>
    <phoneticPr fontId="1"/>
  </si>
  <si>
    <t>連携施設を設定していない場合</t>
    <rPh sb="0" eb="2">
      <t>レンケイ</t>
    </rPh>
    <rPh sb="2" eb="4">
      <t>シセツ</t>
    </rPh>
    <rPh sb="5" eb="7">
      <t>セッテイ</t>
    </rPh>
    <rPh sb="12" eb="14">
      <t>バアイ</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</si>
  <si>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</si>
  <si>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定員を恒常的に超過する場合</t>
    <rPh sb="0" eb="2">
      <t>テイイン</t>
    </rPh>
    <rPh sb="3" eb="6">
      <t>コウジョウテキ</t>
    </rPh>
    <rPh sb="7" eb="9">
      <t>チョウカ</t>
    </rPh>
    <rPh sb="11" eb="13">
      <t>バアイ</t>
    </rPh>
    <phoneticPr fontId="1"/>
  </si>
  <si>
    <t>障害児保育加算対象人数</t>
    <rPh sb="0" eb="2">
      <t>ショウガイ</t>
    </rPh>
    <rPh sb="2" eb="3">
      <t>ジ</t>
    </rPh>
    <rPh sb="3" eb="5">
      <t>ホイク</t>
    </rPh>
    <rPh sb="5" eb="7">
      <t>カサン</t>
    </rPh>
    <rPh sb="7" eb="9">
      <t>タイショウ</t>
    </rPh>
    <rPh sb="9" eb="11">
      <t>ニンズウ</t>
    </rPh>
    <phoneticPr fontId="1"/>
  </si>
  <si>
    <t>4月～11月の平均で0歳児が3人以上在籍している</t>
    <rPh sb="1" eb="2">
      <t>ガツ</t>
    </rPh>
    <rPh sb="5" eb="6">
      <t>ガツ</t>
    </rPh>
    <rPh sb="7" eb="9">
      <t>ヘイキン</t>
    </rPh>
    <rPh sb="11" eb="13">
      <t>サイジ</t>
    </rPh>
    <rPh sb="15" eb="18">
      <t>ニンイジョウ</t>
    </rPh>
    <rPh sb="18" eb="20">
      <t>ザイセキ</t>
    </rPh>
    <phoneticPr fontId="1"/>
  </si>
  <si>
    <t>4月～11月の平均で障害児が1人以上在籍している</t>
    <rPh sb="1" eb="2">
      <t>ガツ</t>
    </rPh>
    <rPh sb="5" eb="6">
      <t>ガツ</t>
    </rPh>
    <rPh sb="7" eb="9">
      <t>ヘイキン</t>
    </rPh>
    <rPh sb="10" eb="12">
      <t>ショウガイ</t>
    </rPh>
    <rPh sb="12" eb="13">
      <t>ジ</t>
    </rPh>
    <rPh sb="15" eb="16">
      <t>ニン</t>
    </rPh>
    <rPh sb="16" eb="18">
      <t>イジョウ</t>
    </rPh>
    <rPh sb="18" eb="20">
      <t>ザイセキ</t>
    </rPh>
    <phoneticPr fontId="1"/>
  </si>
  <si>
    <t>取組み数</t>
    <rPh sb="0" eb="2">
      <t>トリク</t>
    </rPh>
    <rPh sb="3" eb="4">
      <t>スウ</t>
    </rPh>
    <phoneticPr fontId="1"/>
  </si>
  <si>
    <t>延長保育事業の実施</t>
    <rPh sb="0" eb="2">
      <t>エンチョウ</t>
    </rPh>
    <rPh sb="2" eb="4">
      <t>ホイク</t>
    </rPh>
    <rPh sb="4" eb="6">
      <t>ジギョウ</t>
    </rPh>
    <rPh sb="7" eb="9">
      <t>ジッシ</t>
    </rPh>
    <phoneticPr fontId="1"/>
  </si>
  <si>
    <t>一般型一時預かり事業の実施</t>
    <rPh sb="0" eb="3">
      <t>イッパンガタ</t>
    </rPh>
    <rPh sb="3" eb="5">
      <t>イチジ</t>
    </rPh>
    <rPh sb="5" eb="6">
      <t>アズ</t>
    </rPh>
    <rPh sb="8" eb="10">
      <t>ジギョウ</t>
    </rPh>
    <rPh sb="11" eb="13">
      <t>ジッシ</t>
    </rPh>
    <phoneticPr fontId="1"/>
  </si>
  <si>
    <t>病児保育事業の実施</t>
    <rPh sb="0" eb="2">
      <t>ビョウジ</t>
    </rPh>
    <rPh sb="2" eb="4">
      <t>ホイク</t>
    </rPh>
    <rPh sb="4" eb="6">
      <t>ジギョウ</t>
    </rPh>
    <rPh sb="7" eb="9">
      <t>ジッシ</t>
    </rPh>
    <phoneticPr fontId="1"/>
  </si>
  <si>
    <t>4～11月平均　障害児１人以上在籍</t>
    <rPh sb="4" eb="5">
      <t>ガツ</t>
    </rPh>
    <rPh sb="5" eb="7">
      <t>ヘイキン</t>
    </rPh>
    <rPh sb="8" eb="10">
      <t>ショウガイ</t>
    </rPh>
    <rPh sb="10" eb="11">
      <t>ジ</t>
    </rPh>
    <rPh sb="12" eb="15">
      <t>ニンイジョウ</t>
    </rPh>
    <rPh sb="15" eb="17">
      <t>ザイセキ</t>
    </rPh>
    <phoneticPr fontId="1"/>
  </si>
  <si>
    <t>4～11月平均　０歳児３人以上在籍</t>
    <rPh sb="4" eb="5">
      <t>ガツ</t>
    </rPh>
    <rPh sb="5" eb="7">
      <t>ヘイキン</t>
    </rPh>
    <rPh sb="9" eb="11">
      <t>サイジ</t>
    </rPh>
    <rPh sb="12" eb="15">
      <t>ニンイジョウ</t>
    </rPh>
    <rPh sb="15" eb="17">
      <t>ザイセキ</t>
    </rPh>
    <phoneticPr fontId="1"/>
  </si>
  <si>
    <t>保比率</t>
    <rPh sb="0" eb="1">
      <t>ホ</t>
    </rPh>
    <rPh sb="1" eb="3">
      <t>ヒリツ</t>
    </rPh>
    <phoneticPr fontId="1"/>
  </si>
  <si>
    <t>障害加算</t>
    <rPh sb="0" eb="2">
      <t>ショウガイ</t>
    </rPh>
    <rPh sb="2" eb="4">
      <t>カサン</t>
    </rPh>
    <phoneticPr fontId="1"/>
  </si>
  <si>
    <t>休日保育</t>
    <rPh sb="0" eb="2">
      <t>キュウジツ</t>
    </rPh>
    <rPh sb="2" eb="4">
      <t>ホイク</t>
    </rPh>
    <phoneticPr fontId="1"/>
  </si>
  <si>
    <t>夜間保育</t>
    <rPh sb="0" eb="2">
      <t>ヤカン</t>
    </rPh>
    <rPh sb="2" eb="4">
      <t>ホイク</t>
    </rPh>
    <phoneticPr fontId="1"/>
  </si>
  <si>
    <t>減価償却</t>
    <rPh sb="0" eb="2">
      <t>ゲンカ</t>
    </rPh>
    <rPh sb="2" eb="4">
      <t>ショウキャク</t>
    </rPh>
    <phoneticPr fontId="1"/>
  </si>
  <si>
    <t>賃借料</t>
    <rPh sb="0" eb="3">
      <t>チンシャクリョウ</t>
    </rPh>
    <phoneticPr fontId="1"/>
  </si>
  <si>
    <t>連携無し</t>
    <rPh sb="0" eb="2">
      <t>レンケイ</t>
    </rPh>
    <rPh sb="2" eb="3">
      <t>ナ</t>
    </rPh>
    <phoneticPr fontId="1"/>
  </si>
  <si>
    <t>調理外</t>
    <rPh sb="0" eb="2">
      <t>チョウリ</t>
    </rPh>
    <rPh sb="2" eb="3">
      <t>ソト</t>
    </rPh>
    <phoneticPr fontId="1"/>
  </si>
  <si>
    <t>管理者無</t>
    <rPh sb="0" eb="3">
      <t>カンリシャ</t>
    </rPh>
    <rPh sb="3" eb="4">
      <t>ナ</t>
    </rPh>
    <phoneticPr fontId="1"/>
  </si>
  <si>
    <t>定員超</t>
    <rPh sb="0" eb="1">
      <t>サダム</t>
    </rPh>
    <rPh sb="1" eb="2">
      <t>イン</t>
    </rPh>
    <rPh sb="2" eb="3">
      <t>チョウ</t>
    </rPh>
    <phoneticPr fontId="1"/>
  </si>
  <si>
    <t>障害児保育加算対象者以外</t>
    <rPh sb="0" eb="2">
      <t>ショウガイ</t>
    </rPh>
    <rPh sb="2" eb="3">
      <t>ジ</t>
    </rPh>
    <rPh sb="3" eb="5">
      <t>ホイク</t>
    </rPh>
    <rPh sb="5" eb="7">
      <t>カサン</t>
    </rPh>
    <rPh sb="7" eb="9">
      <t>タイショウ</t>
    </rPh>
    <rPh sb="9" eb="10">
      <t>シャ</t>
    </rPh>
    <rPh sb="10" eb="12">
      <t>イガイ</t>
    </rPh>
    <phoneticPr fontId="1"/>
  </si>
  <si>
    <t>障害児保育加算対象者</t>
    <rPh sb="0" eb="2">
      <t>ショウガイ</t>
    </rPh>
    <rPh sb="2" eb="3">
      <t>ジ</t>
    </rPh>
    <rPh sb="3" eb="5">
      <t>ホイク</t>
    </rPh>
    <rPh sb="5" eb="7">
      <t>カサン</t>
    </rPh>
    <rPh sb="7" eb="9">
      <t>タイショウ</t>
    </rPh>
    <rPh sb="9" eb="10">
      <t>シャ</t>
    </rPh>
    <phoneticPr fontId="1"/>
  </si>
  <si>
    <t>判定1</t>
    <rPh sb="0" eb="2">
      <t>ハンテイ</t>
    </rPh>
    <phoneticPr fontId="1"/>
  </si>
  <si>
    <t>判定2</t>
    <rPh sb="0" eb="2">
      <t>ハンテイ</t>
    </rPh>
    <phoneticPr fontId="1"/>
  </si>
  <si>
    <t>判定3</t>
    <rPh sb="0" eb="2">
      <t>ハンテイ</t>
    </rPh>
    <phoneticPr fontId="1"/>
  </si>
  <si>
    <t>最終判定</t>
    <rPh sb="0" eb="2">
      <t>サイシュウ</t>
    </rPh>
    <rPh sb="2" eb="4">
      <t>ハンテイ</t>
    </rPh>
    <phoneticPr fontId="1"/>
  </si>
  <si>
    <t>管理者</t>
    <rPh sb="0" eb="3">
      <t>カンリシャ</t>
    </rPh>
    <phoneticPr fontId="1"/>
  </si>
  <si>
    <t>非常勤調理員等</t>
    <rPh sb="0" eb="3">
      <t>ヒジョウキン</t>
    </rPh>
    <rPh sb="3" eb="6">
      <t>チョウリイン</t>
    </rPh>
    <rPh sb="6" eb="7">
      <t>トウ</t>
    </rPh>
    <phoneticPr fontId="1"/>
  </si>
  <si>
    <t>非常勤事務職員</t>
    <rPh sb="0" eb="3">
      <t>ヒジョウキン</t>
    </rPh>
    <rPh sb="3" eb="5">
      <t>ジム</t>
    </rPh>
    <rPh sb="5" eb="7">
      <t>ショクイン</t>
    </rPh>
    <phoneticPr fontId="1"/>
  </si>
  <si>
    <t>障害児</t>
    <rPh sb="0" eb="2">
      <t>ショウガイ</t>
    </rPh>
    <rPh sb="2" eb="3">
      <t>ジ</t>
    </rPh>
    <phoneticPr fontId="1"/>
  </si>
  <si>
    <t>職員名簿から算出される常勤換算された有効職員数</t>
    <rPh sb="0" eb="2">
      <t>ショクイン</t>
    </rPh>
    <rPh sb="2" eb="4">
      <t>メイボ</t>
    </rPh>
    <rPh sb="6" eb="8">
      <t>サンシュツ</t>
    </rPh>
    <rPh sb="11" eb="13">
      <t>ジョウキン</t>
    </rPh>
    <rPh sb="13" eb="15">
      <t>カンサン</t>
    </rPh>
    <rPh sb="18" eb="20">
      <t>ユウコウ</t>
    </rPh>
    <rPh sb="20" eb="23">
      <t>ショクインスウ</t>
    </rPh>
    <phoneticPr fontId="1"/>
  </si>
  <si>
    <t>障害児は市が認めた児童で、手帳の有無は問わない</t>
    <rPh sb="0" eb="2">
      <t>ショウガイ</t>
    </rPh>
    <rPh sb="2" eb="3">
      <t>ジ</t>
    </rPh>
    <rPh sb="4" eb="5">
      <t>シ</t>
    </rPh>
    <rPh sb="6" eb="7">
      <t>ミト</t>
    </rPh>
    <rPh sb="9" eb="11">
      <t>ジドウ</t>
    </rPh>
    <rPh sb="13" eb="15">
      <t>テチョウ</t>
    </rPh>
    <rPh sb="16" eb="18">
      <t>ウム</t>
    </rPh>
    <rPh sb="19" eb="20">
      <t>ト</t>
    </rPh>
    <phoneticPr fontId="1"/>
  </si>
  <si>
    <t>※加算のために必要な追加職員数</t>
    <rPh sb="1" eb="3">
      <t>カサン</t>
    </rPh>
    <rPh sb="7" eb="9">
      <t>ヒツヨウ</t>
    </rPh>
    <rPh sb="10" eb="12">
      <t>ツイカ</t>
    </rPh>
    <rPh sb="12" eb="15">
      <t>ショクインスウ</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</si>
  <si>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</si>
  <si>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</si>
  <si>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【基本配置】
非常勤保育従事者</t>
    <rPh sb="1" eb="3">
      <t>キホン</t>
    </rPh>
    <rPh sb="3" eb="5">
      <t>ハイチ</t>
    </rPh>
    <rPh sb="7" eb="10">
      <t>ヒジョウキン</t>
    </rPh>
    <rPh sb="10" eb="12">
      <t>ホイク</t>
    </rPh>
    <rPh sb="12" eb="15">
      <t>ジュウジシャ</t>
    </rPh>
    <phoneticPr fontId="1"/>
  </si>
  <si>
    <t>（障害児を除く）在籍児童数から算出される必要職員数</t>
    <rPh sb="1" eb="3">
      <t>ショウガイ</t>
    </rPh>
    <rPh sb="3" eb="4">
      <t>ジ</t>
    </rPh>
    <rPh sb="5" eb="6">
      <t>ノゾ</t>
    </rPh>
    <rPh sb="8" eb="10">
      <t>ザイセキ</t>
    </rPh>
    <rPh sb="10" eb="12">
      <t>ジドウ</t>
    </rPh>
    <rPh sb="12" eb="13">
      <t>スウ</t>
    </rPh>
    <rPh sb="15" eb="17">
      <t>サンシュツ</t>
    </rPh>
    <rPh sb="20" eb="22">
      <t>ヒツヨウ</t>
    </rPh>
    <rPh sb="22" eb="24">
      <t>ショクイン</t>
    </rPh>
    <rPh sb="24" eb="25">
      <t>スウ</t>
    </rPh>
    <phoneticPr fontId="1"/>
  </si>
  <si>
    <t>※職員配置に関係しない加算は表示していません。</t>
    <rPh sb="1" eb="3">
      <t>ショクイン</t>
    </rPh>
    <rPh sb="3" eb="5">
      <t>ハイチ</t>
    </rPh>
    <rPh sb="6" eb="8">
      <t>カンケイ</t>
    </rPh>
    <rPh sb="11" eb="13">
      <t>カサン</t>
    </rPh>
    <rPh sb="14" eb="16">
      <t>ヒョウジ</t>
    </rPh>
    <phoneticPr fontId="1"/>
  </si>
  <si>
    <t>保育標準時間対応は、非常勤の保育士を1名配置すること。</t>
    <rPh sb="0" eb="2">
      <t>ホイク</t>
    </rPh>
    <rPh sb="2" eb="4">
      <t>ヒョウジュン</t>
    </rPh>
    <rPh sb="4" eb="6">
      <t>ジカン</t>
    </rPh>
    <rPh sb="6" eb="8">
      <t>タイオウ</t>
    </rPh>
    <rPh sb="10" eb="13">
      <t>ヒジョウキン</t>
    </rPh>
    <rPh sb="14" eb="17">
      <t>ホイクシ</t>
    </rPh>
    <rPh sb="19" eb="20">
      <t>メイ</t>
    </rPh>
    <rPh sb="20" eb="22">
      <t>ハイチ</t>
    </rPh>
    <phoneticPr fontId="1"/>
  </si>
  <si>
    <t>※4</t>
    <phoneticPr fontId="1"/>
  </si>
  <si>
    <t>非常勤の保育士を1名配置すること（基本分単価における必要保育従事者）。</t>
    <rPh sb="0" eb="3">
      <t>ヒジョウキン</t>
    </rPh>
    <rPh sb="4" eb="7">
      <t>ホイクシ</t>
    </rPh>
    <rPh sb="9" eb="10">
      <t>メイ</t>
    </rPh>
    <rPh sb="10" eb="12">
      <t>ハイチ</t>
    </rPh>
    <rPh sb="17" eb="19">
      <t>キホン</t>
    </rPh>
    <rPh sb="19" eb="20">
      <t>ブン</t>
    </rPh>
    <rPh sb="20" eb="22">
      <t>タンカ</t>
    </rPh>
    <rPh sb="26" eb="28">
      <t>ヒツヨウ</t>
    </rPh>
    <rPh sb="28" eb="30">
      <t>ホイク</t>
    </rPh>
    <rPh sb="30" eb="33">
      <t>ジュウジシャ</t>
    </rPh>
    <phoneticPr fontId="1"/>
  </si>
  <si>
    <t>調理員等</t>
  </si>
  <si>
    <t>　+1人</t>
    <rPh sb="3" eb="4">
      <t>ニン</t>
    </rPh>
    <phoneticPr fontId="1"/>
  </si>
  <si>
    <t>（参考）</t>
    <rPh sb="1" eb="3">
      <t>サンコウ</t>
    </rPh>
    <phoneticPr fontId="1"/>
  </si>
  <si>
    <t>標準認定対応等の非常勤保育士の配置（2名）</t>
    <rPh sb="0" eb="2">
      <t>ヒョウジュン</t>
    </rPh>
    <rPh sb="2" eb="4">
      <t>ニンテイ</t>
    </rPh>
    <rPh sb="4" eb="6">
      <t>タイオウ</t>
    </rPh>
    <rPh sb="6" eb="7">
      <t>ナド</t>
    </rPh>
    <rPh sb="8" eb="11">
      <t>ヒジョウキン</t>
    </rPh>
    <rPh sb="11" eb="14">
      <t>ホイクシ</t>
    </rPh>
    <rPh sb="15" eb="17">
      <t>ハイチ</t>
    </rPh>
    <rPh sb="19" eb="20">
      <t>メイ</t>
    </rPh>
    <phoneticPr fontId="1"/>
  </si>
  <si>
    <t>非常勤保育士2名配置</t>
    <rPh sb="0" eb="3">
      <t>ヒジョウキン</t>
    </rPh>
    <rPh sb="3" eb="6">
      <t>ホイクシ</t>
    </rPh>
    <rPh sb="7" eb="8">
      <t>メイ</t>
    </rPh>
    <rPh sb="8" eb="10">
      <t>ハイチ</t>
    </rPh>
    <phoneticPr fontId="1"/>
  </si>
  <si>
    <r>
      <t>基本分単価における</t>
    </r>
    <r>
      <rPr>
        <b/>
        <sz val="8"/>
        <color theme="0"/>
        <rFont val="游ゴシック"/>
        <family val="3"/>
        <charset val="128"/>
        <scheme val="minor"/>
      </rPr>
      <t>＿</t>
    </r>
    <r>
      <rPr>
        <b/>
        <sz val="8"/>
        <color theme="1"/>
        <rFont val="游ゴシック"/>
        <family val="3"/>
        <charset val="128"/>
        <scheme val="minor"/>
      </rPr>
      <t xml:space="preserve">
　必要保育従者数等を</t>
    </r>
    <phoneticPr fontId="1"/>
  </si>
  <si>
    <t>各施設へ配布</t>
    <rPh sb="0" eb="3">
      <t>カクシセツ</t>
    </rPh>
    <rPh sb="4" eb="6">
      <t>ハイフ</t>
    </rPh>
    <phoneticPr fontId="1"/>
  </si>
  <si>
    <t>障害児加算対象児童数から算出される必要職員数</t>
    <rPh sb="0" eb="2">
      <t>ショウガイ</t>
    </rPh>
    <rPh sb="2" eb="3">
      <t>ジ</t>
    </rPh>
    <rPh sb="3" eb="5">
      <t>カサン</t>
    </rPh>
    <rPh sb="5" eb="7">
      <t>タイショウ</t>
    </rPh>
    <rPh sb="7" eb="9">
      <t>ジドウ</t>
    </rPh>
    <rPh sb="9" eb="10">
      <t>スウ</t>
    </rPh>
    <rPh sb="12" eb="14">
      <t>サンシュツ</t>
    </rPh>
    <rPh sb="17" eb="19">
      <t>ヒツヨウ</t>
    </rPh>
    <rPh sb="19" eb="21">
      <t>ショクイン</t>
    </rPh>
    <rPh sb="21" eb="22">
      <t>スウ</t>
    </rPh>
    <phoneticPr fontId="1"/>
  </si>
  <si>
    <t>障害児加算を取るために必要な職員数</t>
    <rPh sb="0" eb="2">
      <t>ショウガイ</t>
    </rPh>
    <rPh sb="2" eb="3">
      <t>ジ</t>
    </rPh>
    <rPh sb="3" eb="5">
      <t>カサン</t>
    </rPh>
    <rPh sb="6" eb="7">
      <t>ト</t>
    </rPh>
    <rPh sb="11" eb="13">
      <t>ヒツヨウ</t>
    </rPh>
    <rPh sb="14" eb="16">
      <t>ショクイン</t>
    </rPh>
    <rPh sb="16" eb="17">
      <t>スウ</t>
    </rPh>
    <phoneticPr fontId="1"/>
  </si>
  <si>
    <t>4月</t>
    <rPh sb="1" eb="2">
      <t>ガツ</t>
    </rPh>
    <phoneticPr fontId="1"/>
  </si>
  <si>
    <t>5月</t>
    <rPh sb="1" eb="2">
      <t>ガツ</t>
    </rPh>
    <phoneticPr fontId="1"/>
  </si>
  <si>
    <t>6月</t>
    <rPh sb="1" eb="2">
      <t>ガツ</t>
    </rPh>
    <phoneticPr fontId="1"/>
  </si>
  <si>
    <t>7月</t>
  </si>
  <si>
    <t>8月</t>
  </si>
  <si>
    <t>9月</t>
  </si>
  <si>
    <t>10月</t>
  </si>
  <si>
    <t>11月</t>
  </si>
  <si>
    <t>０歳児在籍数</t>
    <rPh sb="1" eb="3">
      <t>サイジ</t>
    </rPh>
    <rPh sb="3" eb="5">
      <t>ザイセキ</t>
    </rPh>
    <rPh sb="5" eb="6">
      <t>スウ</t>
    </rPh>
    <phoneticPr fontId="1"/>
  </si>
  <si>
    <t>障害児在籍数</t>
    <rPh sb="0" eb="2">
      <t>ショウガイ</t>
    </rPh>
    <rPh sb="2" eb="3">
      <t>ジ</t>
    </rPh>
    <rPh sb="3" eb="5">
      <t>ザイセキ</t>
    </rPh>
    <rPh sb="5" eb="6">
      <t>スウ</t>
    </rPh>
    <phoneticPr fontId="1"/>
  </si>
  <si>
    <t>平均</t>
    <rPh sb="0" eb="2">
      <t>ヘイキン</t>
    </rPh>
    <phoneticPr fontId="1"/>
  </si>
  <si>
    <t>子育て支援の取組み判定用</t>
    <rPh sb="0" eb="2">
      <t>コソダ</t>
    </rPh>
    <rPh sb="3" eb="5">
      <t>シエン</t>
    </rPh>
    <rPh sb="6" eb="8">
      <t>トリクミ</t>
    </rPh>
    <rPh sb="9" eb="12">
      <t>ハンテイヨウ</t>
    </rPh>
    <phoneticPr fontId="1"/>
  </si>
  <si>
    <t>判定</t>
    <rPh sb="0" eb="2">
      <t>ハンテイ</t>
    </rPh>
    <phoneticPr fontId="1"/>
  </si>
  <si>
    <t>管理者配置なし（減算）</t>
    <rPh sb="0" eb="3">
      <t>カンリシャ</t>
    </rPh>
    <rPh sb="3" eb="5">
      <t>ハイチ</t>
    </rPh>
    <rPh sb="8" eb="10">
      <t>ゲンサン</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</si>
  <si>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</si>
  <si>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施設機能強化推進費加算</t>
    <rPh sb="0" eb="2">
      <t>シセツ</t>
    </rPh>
    <rPh sb="2" eb="4">
      <t>キノウ</t>
    </rPh>
    <rPh sb="4" eb="6">
      <t>キョウカ</t>
    </rPh>
    <rPh sb="6" eb="8">
      <t>スイシン</t>
    </rPh>
    <rPh sb="8" eb="9">
      <t>ヒ</t>
    </rPh>
    <rPh sb="9" eb="11">
      <t>カサン</t>
    </rPh>
    <phoneticPr fontId="1"/>
  </si>
  <si>
    <t>※この欄に入力された職員は、加算や職員数計算等に影響しません。必要に応じて、施設の備忘用にご使用ください。</t>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</si>
  <si>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</si>
  <si>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</si>
  <si>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小規模保育事業A型</t>
  </si>
  <si>
    <t>令和4年度版検討開始</t>
    <rPh sb="0" eb="2">
      <t>レイワ</t>
    </rPh>
    <rPh sb="3" eb="5">
      <t>ネンド</t>
    </rPh>
    <rPh sb="5" eb="6">
      <t>バン</t>
    </rPh>
    <rPh sb="6" eb="8">
      <t>ケントウ</t>
    </rPh>
    <rPh sb="8" eb="10">
      <t>カイシ</t>
    </rPh>
    <phoneticPr fontId="1"/>
  </si>
  <si>
    <t>総職員数
（実人数）</t>
    <rPh sb="0" eb="1">
      <t>ソウ</t>
    </rPh>
    <rPh sb="1" eb="4">
      <t>ショクインスウ</t>
    </rPh>
    <rPh sb="6" eb="7">
      <t>ジツ</t>
    </rPh>
    <rPh sb="7" eb="9">
      <t>ニンズウ</t>
    </rPh>
    <phoneticPr fontId="1"/>
  </si>
  <si>
    <t>総職員数
（常勤換算値）</t>
    <phoneticPr fontId="1"/>
  </si>
  <si>
    <t>換算対象職員数
（実人数）</t>
    <rPh sb="0" eb="2">
      <t>カンサン</t>
    </rPh>
    <rPh sb="2" eb="4">
      <t>タイショウ</t>
    </rPh>
    <rPh sb="4" eb="6">
      <t>ショクイン</t>
    </rPh>
    <rPh sb="6" eb="7">
      <t>スウ</t>
    </rPh>
    <rPh sb="9" eb="10">
      <t>ジツ</t>
    </rPh>
    <rPh sb="10" eb="12">
      <t>ニンズウ</t>
    </rPh>
    <phoneticPr fontId="1"/>
  </si>
  <si>
    <t>換算対象職員数
（常勤換算値）</t>
    <rPh sb="0" eb="2">
      <t>カンサン</t>
    </rPh>
    <rPh sb="2" eb="4">
      <t>タイショウ</t>
    </rPh>
    <phoneticPr fontId="1"/>
  </si>
  <si>
    <t>職員数換算</t>
    <rPh sb="0" eb="3">
      <t>ショクインスウ</t>
    </rPh>
    <rPh sb="3" eb="5">
      <t>カンサン</t>
    </rPh>
    <phoneticPr fontId="1"/>
  </si>
  <si>
    <t>全職員</t>
    <rPh sb="0" eb="3">
      <t>ゼンショクイン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</si>
  <si>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</si>
  <si>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④加算_障害児加算のエラー修正</t>
    <rPh sb="1" eb="3">
      <t>カサン</t>
    </rPh>
    <rPh sb="4" eb="6">
      <t>ショウガイ</t>
    </rPh>
    <rPh sb="6" eb="7">
      <t>ジ</t>
    </rPh>
    <rPh sb="7" eb="9">
      <t>カサン</t>
    </rPh>
    <rPh sb="13" eb="15">
      <t>シュウセイ</t>
    </rPh>
    <phoneticPr fontId="1"/>
  </si>
  <si>
    <t>常態的に土曜日に閉所する場合（調書による確認）</t>
    <rPh sb="0" eb="2">
      <t>ジョウタイ</t>
    </rPh>
    <rPh sb="2" eb="3">
      <t>テキ</t>
    </rPh>
    <rPh sb="4" eb="7">
      <t>ドヨウビ</t>
    </rPh>
    <rPh sb="8" eb="10">
      <t>ヘイショ</t>
    </rPh>
    <rPh sb="12" eb="14">
      <t>バアイ</t>
    </rPh>
    <rPh sb="15" eb="17">
      <t>チョウショ</t>
    </rPh>
    <rPh sb="20" eb="22">
      <t>カクニン</t>
    </rPh>
    <phoneticPr fontId="1"/>
  </si>
  <si>
    <t>③職員名簿　加配職員欄追加</t>
    <rPh sb="1" eb="3">
      <t>ショクイン</t>
    </rPh>
    <rPh sb="3" eb="5">
      <t>メイボ</t>
    </rPh>
    <rPh sb="6" eb="8">
      <t>カハイ</t>
    </rPh>
    <rPh sb="8" eb="10">
      <t>ショクイン</t>
    </rPh>
    <rPh sb="10" eb="11">
      <t>ラン</t>
    </rPh>
    <rPh sb="11" eb="13">
      <t>ツイカ</t>
    </rPh>
    <phoneticPr fontId="1"/>
  </si>
  <si>
    <t>正式リリース（令和3年度版）</t>
    <rPh sb="0" eb="2">
      <t>セイシキ</t>
    </rPh>
    <rPh sb="7" eb="9">
      <t>レイワ</t>
    </rPh>
    <rPh sb="10" eb="12">
      <t>ネンド</t>
    </rPh>
    <rPh sb="12" eb="13">
      <t>バン</t>
    </rPh>
    <phoneticPr fontId="1"/>
  </si>
  <si>
    <t>R4年度　特定教育・保育施設等における職員配置の考え方（小規模保育事業A型）</t>
    <rPh sb="2" eb="4">
      <t>ネンド</t>
    </rPh>
    <rPh sb="5" eb="9">
      <t>トクテイキョウイク</t>
    </rPh>
    <rPh sb="10" eb="15">
      <t>ホイクシセツナド</t>
    </rPh>
    <rPh sb="19" eb="21">
      <t>ショクイン</t>
    </rPh>
    <rPh sb="21" eb="23">
      <t>ハイチ</t>
    </rPh>
    <rPh sb="24" eb="25">
      <t>カンガ</t>
    </rPh>
    <rPh sb="26" eb="27">
      <t>カタ</t>
    </rPh>
    <rPh sb="28" eb="31">
      <t>ショウキボ</t>
    </rPh>
    <rPh sb="31" eb="33">
      <t>ホイク</t>
    </rPh>
    <rPh sb="33" eb="35">
      <t>ジギョウ</t>
    </rPh>
    <rPh sb="36" eb="37">
      <t>カタ</t>
    </rPh>
    <phoneticPr fontId="1"/>
  </si>
  <si>
    <t>R4年度　職員配置と各加算の関係性（小規模保育事業A型）</t>
    <rPh sb="2" eb="4">
      <t>ネンド</t>
    </rPh>
    <rPh sb="5" eb="7">
      <t>ショクイン</t>
    </rPh>
    <rPh sb="7" eb="9">
      <t>ハイチ</t>
    </rPh>
    <rPh sb="10" eb="11">
      <t>カク</t>
    </rPh>
    <rPh sb="11" eb="13">
      <t>カサン</t>
    </rPh>
    <rPh sb="14" eb="17">
      <t>カンケイセイ</t>
    </rPh>
    <rPh sb="18" eb="21">
      <t>ショウキボ</t>
    </rPh>
    <rPh sb="21" eb="23">
      <t>ホイク</t>
    </rPh>
    <rPh sb="23" eb="25">
      <t>ジギョウ</t>
    </rPh>
    <rPh sb="26" eb="27">
      <t>ガタ</t>
    </rPh>
    <phoneticPr fontId="1"/>
  </si>
  <si>
    <t>プレリリース（4月確認用）</t>
    <rPh sb="8" eb="9">
      <t>ガツ</t>
    </rPh>
    <rPh sb="9" eb="12">
      <t>カクニンヨウ</t>
    </rPh>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</si>
  <si>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</si>
  <si>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</si>
  <si>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</si>
  <si>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</si>
  <si>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</si>
  <si>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事務職員</t>
  </si>
  <si>
    <t>③職員名簿　兼務状況追加</t>
    <rPh sb="1" eb="3">
      <t>ショクイン</t>
    </rPh>
    <rPh sb="3" eb="5">
      <t>メイボ</t>
    </rPh>
    <rPh sb="6" eb="8">
      <t>ケンム</t>
    </rPh>
    <rPh sb="8" eb="10">
      <t>ジョウキョウ</t>
    </rPh>
    <rPh sb="10" eb="12">
      <t>ツイカ</t>
    </rPh>
    <phoneticPr fontId="1"/>
  </si>
  <si>
    <t>○○　○○</t>
    <phoneticPr fontId="1"/>
  </si>
  <si>
    <t>○○　○○</t>
    <phoneticPr fontId="1"/>
  </si>
  <si>
    <t>短時間</t>
  </si>
  <si>
    <t>加算対象者</t>
  </si>
  <si>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</si>
  <si>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</si>
  <si>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</si>
  <si>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</si>
  <si>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</si>
  <si>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</si>
  <si>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</si>
  <si>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</si>
  <si>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</si>
  <si>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</si>
  <si>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主任保育士</t>
    <rPh sb="0" eb="2">
      <t>シュニン</t>
    </rPh>
    <rPh sb="2" eb="4">
      <t>ホイク</t>
    </rPh>
    <rPh sb="4" eb="5">
      <t>シ</t>
    </rPh>
    <phoneticPr fontId="1"/>
  </si>
  <si>
    <t>副主任保育士</t>
    <rPh sb="0" eb="6">
      <t>フクシュニンホイクシ</t>
    </rPh>
    <phoneticPr fontId="1"/>
  </si>
  <si>
    <t>専門リーダー</t>
    <rPh sb="0" eb="2">
      <t>センモン</t>
    </rPh>
    <phoneticPr fontId="1"/>
  </si>
  <si>
    <t>職務分野別リーダー
（乳児保育）</t>
    <rPh sb="0" eb="2">
      <t>ショクム</t>
    </rPh>
    <rPh sb="2" eb="4">
      <t>ブンヤ</t>
    </rPh>
    <rPh sb="4" eb="5">
      <t>ベツ</t>
    </rPh>
    <rPh sb="11" eb="13">
      <t>ニュウジ</t>
    </rPh>
    <rPh sb="13" eb="15">
      <t>ホイク</t>
    </rPh>
    <phoneticPr fontId="1"/>
  </si>
  <si>
    <t>職務分野別リーダー
（障がい児保育）</t>
    <rPh sb="0" eb="2">
      <t>ショクム</t>
    </rPh>
    <rPh sb="2" eb="4">
      <t>ブンヤ</t>
    </rPh>
    <rPh sb="4" eb="5">
      <t>ベツ</t>
    </rPh>
    <rPh sb="11" eb="12">
      <t>ショウ</t>
    </rPh>
    <rPh sb="14" eb="15">
      <t>ジ</t>
    </rPh>
    <rPh sb="15" eb="17">
      <t>ホイク</t>
    </rPh>
    <phoneticPr fontId="1"/>
  </si>
  <si>
    <t>p</t>
    <phoneticPr fontId="1"/>
  </si>
  <si>
    <t>職務分野別リーダー
（保健衛生・安全対策）</t>
    <rPh sb="0" eb="2">
      <t>ショクム</t>
    </rPh>
    <rPh sb="2" eb="4">
      <t>ブンヤ</t>
    </rPh>
    <rPh sb="4" eb="5">
      <t>ベツ</t>
    </rPh>
    <rPh sb="11" eb="13">
      <t>ホケン</t>
    </rPh>
    <rPh sb="13" eb="15">
      <t>エイセイ</t>
    </rPh>
    <rPh sb="16" eb="18">
      <t>アンゼン</t>
    </rPh>
    <rPh sb="18" eb="20">
      <t>タイサク</t>
    </rPh>
    <phoneticPr fontId="1"/>
  </si>
  <si>
    <t>准看護師</t>
    <rPh sb="0" eb="1">
      <t>ジュン</t>
    </rPh>
    <phoneticPr fontId="1"/>
  </si>
  <si>
    <t>k</t>
    <phoneticPr fontId="1"/>
  </si>
  <si>
    <t>l</t>
    <phoneticPr fontId="1"/>
  </si>
  <si>
    <t>n</t>
    <phoneticPr fontId="1"/>
  </si>
  <si>
    <t>o</t>
    <phoneticPr fontId="1"/>
  </si>
  <si>
    <r>
      <t xml:space="preserve">職務分野別リーダー
</t>
    </r>
    <r>
      <rPr>
        <sz val="6"/>
        <color theme="1"/>
        <rFont val="游ゴシック"/>
        <family val="3"/>
        <charset val="128"/>
        <scheme val="minor"/>
      </rPr>
      <t>（保護者支援・子育て支援）</t>
    </r>
    <rPh sb="0" eb="2">
      <t>ショクム</t>
    </rPh>
    <rPh sb="2" eb="4">
      <t>ブンヤ</t>
    </rPh>
    <rPh sb="4" eb="5">
      <t>ベツ</t>
    </rPh>
    <rPh sb="11" eb="14">
      <t>ホゴシャ</t>
    </rPh>
    <rPh sb="14" eb="16">
      <t>シエン</t>
    </rPh>
    <rPh sb="17" eb="19">
      <t>コソダ</t>
    </rPh>
    <rPh sb="20" eb="22">
      <t>シエン</t>
    </rPh>
    <phoneticPr fontId="1"/>
  </si>
  <si>
    <t>m</t>
    <phoneticPr fontId="1"/>
  </si>
  <si>
    <t>B</t>
  </si>
  <si>
    <t>記載例小規模保育園</t>
    <rPh sb="0" eb="2">
      <t>キサイ</t>
    </rPh>
    <rPh sb="2" eb="3">
      <t>レイ</t>
    </rPh>
    <rPh sb="3" eb="6">
      <t>ショウキボ</t>
    </rPh>
    <rPh sb="6" eb="9">
      <t>ホイクエン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</si>
</sst>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411]ggge&quot;年&quot;m&quot;月&quot;d&quot;日&quot;;@"/>
    <numFmt numFmtId="177" formatCode="[$-411]ggge&quot;年&quot;m&quot;月&quot;"/>
    <numFmt numFmtId="178" formatCode="0.0"/>
    <numFmt numFmtId="179" formatCode="0.0_ "/>
    <numFmt numFmtId="180" formatCode="0.00_ "/>
    <numFmt numFmtId="181" formatCode="&quot;Ver &quot;0.00"/>
    <numFmt numFmtId="182" formatCode="0&quot;人&quot;"/>
    <numFmt numFmtId="183" formatCode="0.0&quot;人&quot;"/>
    <numFmt numFmtId="184" formatCode="0.00_);[Red]\(0.00\)"/>
    <numFmt numFmtId="185" formatCode="0_ "/>
  </numFmts>
  <fonts count="42">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6"/>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8"/>
      <color rgb="FFFF0000"/>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sz val="9"/>
      <color rgb="FFFF0000"/>
      <name val="游ゴシック"/>
      <family val="3"/>
      <charset val="128"/>
      <scheme val="minor"/>
    </font>
    <font>
      <b/>
      <u/>
      <sz val="9"/>
      <color indexed="81"/>
      <name val="MS P ゴシック"/>
      <family val="3"/>
      <charset val="128"/>
    </font>
    <font>
      <sz val="9"/>
      <color theme="0" tint="-0.249977111117893"/>
      <name val="游ゴシック"/>
      <family val="2"/>
      <charset val="128"/>
      <scheme val="minor"/>
    </font>
    <font>
      <b/>
      <sz val="10"/>
      <color rgb="FFFF0000"/>
      <name val="游ゴシック"/>
      <family val="3"/>
      <charset val="128"/>
      <scheme val="minor"/>
    </font>
    <font>
      <b/>
      <sz val="8"/>
      <color theme="0"/>
      <name val="游ゴシック"/>
      <family val="3"/>
      <charset val="128"/>
      <scheme val="minor"/>
    </font>
    <font>
      <b/>
      <sz val="11"/>
      <color indexed="17"/>
      <name val="MS P ゴシック"/>
      <family val="3"/>
      <charset val="128"/>
    </font>
    <font>
      <sz val="8"/>
      <color theme="0" tint="-0.499984740745262"/>
      <name val="游ゴシック"/>
      <family val="2"/>
      <charset val="128"/>
      <scheme val="minor"/>
    </font>
    <font>
      <b/>
      <sz val="9"/>
      <color indexed="17"/>
      <name val="MS P ゴシック"/>
      <family val="3"/>
      <charset val="128"/>
    </font>
    <font>
      <b/>
      <sz val="8"/>
      <color indexed="17"/>
      <name val="MS P ゴシック"/>
      <family val="3"/>
      <charset val="128"/>
    </font>
    <font>
      <sz val="12"/>
      <color theme="1"/>
      <name val="游ゴシック"/>
      <family val="2"/>
      <charset val="128"/>
      <scheme val="minor"/>
    </font>
    <font>
      <sz val="12"/>
      <color theme="1"/>
      <name val="游ゴシック"/>
      <family val="3"/>
      <charset val="128"/>
      <scheme val="minor"/>
    </font>
    <font>
      <sz val="16"/>
      <color rgb="FFFF0000"/>
      <name val="游ゴシック"/>
      <family val="2"/>
      <charset val="128"/>
      <scheme val="minor"/>
    </font>
    <font>
      <b/>
      <sz val="11"/>
      <color theme="1"/>
      <name val="游ゴシック"/>
      <family val="3"/>
      <charset val="128"/>
      <scheme val="minor"/>
    </font>
    <font>
      <sz val="10"/>
      <color rgb="FFFF0000"/>
      <name val="游ゴシック"/>
      <family val="2"/>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04">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2"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0" borderId="0" xfId="0" applyFill="1" applyBorder="1" applyAlignment="1">
      <alignment horizontal="center" vertical="center"/>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2" fillId="0" borderId="0" xfId="0" applyFont="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3" fillId="3" borderId="2" xfId="0" applyNumberFormat="1" applyFont="1" applyFill="1" applyBorder="1" applyAlignment="1">
      <alignment horizontal="center" vertical="center"/>
    </xf>
    <xf numFmtId="179" fontId="13" fillId="6" borderId="2" xfId="0" applyNumberFormat="1" applyFont="1" applyFill="1" applyBorder="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pplyAlignment="1">
      <alignment horizontal="center" vertical="center"/>
    </xf>
    <xf numFmtId="0" fontId="5" fillId="0" borderId="28" xfId="0" applyFont="1" applyBorder="1" applyAlignment="1">
      <alignment horizontal="right" vertical="center"/>
    </xf>
    <xf numFmtId="0" fontId="5" fillId="0" borderId="28" xfId="0" applyFont="1" applyFill="1" applyBorder="1">
      <alignment vertical="center"/>
    </xf>
    <xf numFmtId="0" fontId="5" fillId="0" borderId="28" xfId="0" applyFont="1" applyFill="1" applyBorder="1" applyAlignment="1">
      <alignment horizontal="center" vertical="center"/>
    </xf>
    <xf numFmtId="0" fontId="5" fillId="0" borderId="28" xfId="0" applyFont="1" applyFill="1" applyBorder="1" applyAlignment="1">
      <alignment horizontal="right" vertical="center"/>
    </xf>
    <xf numFmtId="0" fontId="2" fillId="0" borderId="29" xfId="0" applyFont="1" applyBorder="1">
      <alignment vertical="center"/>
    </xf>
    <xf numFmtId="0" fontId="2" fillId="0" borderId="28" xfId="0" applyFont="1" applyBorder="1">
      <alignment vertical="center"/>
    </xf>
    <xf numFmtId="0" fontId="7" fillId="5" borderId="6"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6" fillId="4" borderId="1" xfId="0" applyFont="1" applyFill="1" applyBorder="1" applyAlignment="1">
      <alignment horizontal="center" vertical="center" wrapText="1"/>
    </xf>
    <xf numFmtId="0" fontId="17" fillId="0" borderId="0" xfId="0" applyFont="1" applyFill="1" applyBorder="1" applyAlignment="1">
      <alignment horizontal="center" vertical="center" shrinkToFit="1"/>
    </xf>
    <xf numFmtId="0" fontId="5"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Border="1" applyAlignment="1">
      <alignment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10" fillId="0" borderId="0" xfId="0" applyFont="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5"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7" fillId="5" borderId="2" xfId="0" applyFont="1" applyFill="1" applyBorder="1" applyAlignment="1">
      <alignment horizontal="center" vertical="center"/>
    </xf>
    <xf numFmtId="0" fontId="27" fillId="0" borderId="1" xfId="0" applyFont="1" applyBorder="1" applyAlignment="1">
      <alignment horizontal="center" vertical="center"/>
    </xf>
    <xf numFmtId="0" fontId="0" fillId="0" borderId="0" xfId="0" applyAlignment="1">
      <alignment horizontal="left" vertical="top" wrapText="1"/>
    </xf>
    <xf numFmtId="0" fontId="6" fillId="4" borderId="1" xfId="0" applyFont="1" applyFill="1" applyBorder="1" applyAlignment="1">
      <alignment horizontal="center" vertical="center" wrapText="1"/>
    </xf>
    <xf numFmtId="0" fontId="0" fillId="4" borderId="18" xfId="0" applyFill="1" applyBorder="1" applyAlignment="1">
      <alignment horizontal="center" vertical="center" shrinkToFit="1"/>
    </xf>
    <xf numFmtId="0" fontId="5" fillId="4" borderId="1" xfId="0" applyFont="1" applyFill="1" applyBorder="1" applyAlignment="1">
      <alignment horizontal="center" vertical="center"/>
    </xf>
    <xf numFmtId="0" fontId="23" fillId="0" borderId="0" xfId="0" applyFont="1" applyAlignment="1">
      <alignment vertical="center"/>
    </xf>
    <xf numFmtId="0" fontId="6" fillId="6" borderId="1" xfId="0" applyFont="1" applyFill="1" applyBorder="1" applyAlignment="1">
      <alignment horizontal="center" vertical="center" wrapText="1" shrinkToFit="1"/>
    </xf>
    <xf numFmtId="0" fontId="18" fillId="4"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4" borderId="32" xfId="0" applyFill="1" applyBorder="1" applyAlignment="1">
      <alignment horizontal="center" vertical="center"/>
    </xf>
    <xf numFmtId="0" fontId="0" fillId="3" borderId="2" xfId="0" applyFill="1" applyBorder="1" applyAlignment="1">
      <alignment horizontal="center" vertical="center"/>
    </xf>
    <xf numFmtId="0" fontId="28" fillId="0" borderId="0" xfId="0" applyFont="1" applyFill="1" applyBorder="1" applyAlignment="1">
      <alignment horizontal="left" vertical="center"/>
    </xf>
    <xf numFmtId="0" fontId="22" fillId="0" borderId="31" xfId="0" applyFont="1" applyBorder="1" applyAlignment="1">
      <alignment vertical="top" wrapText="1"/>
    </xf>
    <xf numFmtId="0" fontId="22" fillId="0" borderId="0" xfId="0" applyFont="1" applyAlignment="1">
      <alignment vertical="top" wrapText="1"/>
    </xf>
    <xf numFmtId="0" fontId="14" fillId="0" borderId="0" xfId="0" applyFont="1" applyAlignment="1">
      <alignment horizontal="right" vertical="center"/>
    </xf>
    <xf numFmtId="179" fontId="13" fillId="3" borderId="2"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2" fillId="5" borderId="1" xfId="0" applyFont="1" applyFill="1" applyBorder="1" applyAlignment="1">
      <alignment horizontal="center" vertical="center" wrapText="1" shrinkToFit="1"/>
    </xf>
    <xf numFmtId="0" fontId="26" fillId="0" borderId="0" xfId="0" applyFont="1" applyFill="1" applyAlignment="1">
      <alignment vertical="center" shrinkToFit="1"/>
    </xf>
    <xf numFmtId="0" fontId="24" fillId="0" borderId="0" xfId="0" applyFont="1" applyAlignment="1">
      <alignment horizontal="left" vertical="center"/>
    </xf>
    <xf numFmtId="178" fontId="13" fillId="3" borderId="1" xfId="0" applyNumberFormat="1" applyFont="1" applyFill="1" applyBorder="1" applyAlignment="1">
      <alignment horizontal="center" vertical="center"/>
    </xf>
    <xf numFmtId="0" fontId="6" fillId="0" borderId="0" xfId="0" applyFont="1">
      <alignment vertical="center"/>
    </xf>
    <xf numFmtId="0" fontId="5" fillId="0" borderId="19" xfId="0" applyFont="1" applyBorder="1" applyAlignment="1">
      <alignment vertical="center" shrinkToFit="1"/>
    </xf>
    <xf numFmtId="0" fontId="7" fillId="0" borderId="19" xfId="0" applyFont="1" applyBorder="1" applyAlignment="1">
      <alignment vertical="center"/>
    </xf>
    <xf numFmtId="0" fontId="7" fillId="0" borderId="19" xfId="0" applyFont="1" applyBorder="1" applyAlignment="1">
      <alignment vertical="center" shrinkToFit="1"/>
    </xf>
    <xf numFmtId="0" fontId="7" fillId="5" borderId="18"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5" borderId="16" xfId="0" applyFont="1" applyFill="1" applyBorder="1" applyAlignment="1">
      <alignment horizontal="center" vertical="center"/>
    </xf>
    <xf numFmtId="0" fontId="30" fillId="0" borderId="0" xfId="0" applyFont="1" applyAlignment="1">
      <alignment horizontal="left" vertical="center"/>
    </xf>
    <xf numFmtId="0" fontId="31" fillId="4" borderId="21" xfId="0" applyFont="1" applyFill="1" applyBorder="1" applyAlignment="1">
      <alignment horizontal="center" vertical="center" wrapText="1" shrinkToFit="1"/>
    </xf>
    <xf numFmtId="0" fontId="0" fillId="0" borderId="0" xfId="0" applyAlignment="1">
      <alignment horizontal="left" vertical="top"/>
    </xf>
    <xf numFmtId="0" fontId="7" fillId="6" borderId="2" xfId="0" applyFont="1" applyFill="1" applyBorder="1" applyAlignment="1">
      <alignment horizontal="center" vertical="center"/>
    </xf>
    <xf numFmtId="49" fontId="16" fillId="0" borderId="0" xfId="0" applyNumberFormat="1" applyFont="1">
      <alignment vertical="center"/>
    </xf>
    <xf numFmtId="0" fontId="2" fillId="6" borderId="1" xfId="0" applyFont="1" applyFill="1" applyBorder="1" applyAlignment="1">
      <alignment horizontal="center" vertical="center"/>
    </xf>
    <xf numFmtId="0" fontId="2" fillId="0" borderId="0" xfId="0" applyFont="1" applyBorder="1" applyAlignment="1">
      <alignment horizontal="left" vertical="center"/>
    </xf>
    <xf numFmtId="0" fontId="2" fillId="0" borderId="34" xfId="0" applyFont="1" applyBorder="1">
      <alignment vertical="center"/>
    </xf>
    <xf numFmtId="0" fontId="24" fillId="0" borderId="0" xfId="0" applyFont="1" applyAlignment="1">
      <alignment horizontal="right" vertical="center"/>
    </xf>
    <xf numFmtId="0" fontId="13" fillId="0" borderId="0" xfId="0" applyFont="1" applyBorder="1" applyAlignment="1">
      <alignment vertical="center" shrinkToFit="1"/>
    </xf>
    <xf numFmtId="0" fontId="26" fillId="0" borderId="22" xfId="0" applyFont="1" applyBorder="1" applyAlignment="1">
      <alignment wrapText="1" shrinkToFit="1"/>
    </xf>
    <xf numFmtId="0" fontId="0" fillId="4" borderId="1" xfId="0" applyFill="1" applyBorder="1">
      <alignment vertical="center"/>
    </xf>
    <xf numFmtId="0" fontId="34" fillId="0" borderId="0" xfId="0" applyFont="1" applyAlignment="1">
      <alignment horizontal="center" vertical="center"/>
    </xf>
    <xf numFmtId="0" fontId="10" fillId="0" borderId="1" xfId="0" applyFont="1" applyBorder="1" applyAlignment="1">
      <alignment horizontal="center" vertical="center"/>
    </xf>
    <xf numFmtId="0" fontId="6" fillId="0" borderId="0" xfId="0" applyFont="1" applyAlignment="1">
      <alignment vertical="center"/>
    </xf>
    <xf numFmtId="1" fontId="0" fillId="6" borderId="1" xfId="0" applyNumberFormat="1" applyFill="1" applyBorder="1">
      <alignment vertical="center"/>
    </xf>
    <xf numFmtId="0" fontId="0" fillId="6" borderId="30" xfId="0" applyFill="1" applyBorder="1">
      <alignment vertical="center"/>
    </xf>
    <xf numFmtId="0" fontId="0" fillId="8" borderId="0" xfId="0" applyFill="1">
      <alignment vertical="center"/>
    </xf>
    <xf numFmtId="181" fontId="2" fillId="0" borderId="0" xfId="0" applyNumberFormat="1" applyFont="1">
      <alignment vertical="center"/>
    </xf>
    <xf numFmtId="181" fontId="6" fillId="0" borderId="0" xfId="0" applyNumberFormat="1" applyFont="1" applyAlignment="1">
      <alignment horizontal="right"/>
    </xf>
    <xf numFmtId="181" fontId="16" fillId="0" borderId="0" xfId="0" applyNumberFormat="1" applyFont="1" applyBorder="1" applyAlignment="1">
      <alignment horizontal="right" vertical="center"/>
    </xf>
    <xf numFmtId="181" fontId="6" fillId="0" borderId="0" xfId="0" applyNumberFormat="1" applyFont="1" applyAlignment="1"/>
    <xf numFmtId="0" fontId="0" fillId="0" borderId="0" xfId="0" applyAlignment="1">
      <alignment horizontal="center" vertical="center"/>
    </xf>
    <xf numFmtId="0" fontId="40" fillId="0" borderId="0" xfId="0" applyFont="1">
      <alignment vertical="center"/>
    </xf>
    <xf numFmtId="0" fontId="0" fillId="0" borderId="0" xfId="0" applyNumberFormat="1" applyFill="1" applyBorder="1" applyAlignment="1">
      <alignment horizontal="center" vertical="center"/>
    </xf>
    <xf numFmtId="0" fontId="0" fillId="0" borderId="0" xfId="0" applyNumberFormat="1" applyFill="1">
      <alignment vertical="center"/>
    </xf>
    <xf numFmtId="0" fontId="18"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0" fontId="17" fillId="0" borderId="38"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79" fontId="0" fillId="0" borderId="0" xfId="0" applyNumberFormat="1">
      <alignment vertical="center"/>
    </xf>
    <xf numFmtId="180" fontId="0" fillId="0" borderId="0" xfId="0" applyNumberFormat="1">
      <alignment vertical="center"/>
    </xf>
    <xf numFmtId="0" fontId="0" fillId="3" borderId="0" xfId="0" applyNumberFormat="1" applyFill="1" applyBorder="1" applyAlignment="1">
      <alignment horizontal="center" vertical="center"/>
    </xf>
    <xf numFmtId="0" fontId="10" fillId="9" borderId="2" xfId="0" applyFont="1" applyFill="1" applyBorder="1" applyAlignment="1">
      <alignment horizontal="center" vertical="center"/>
    </xf>
    <xf numFmtId="0" fontId="41" fillId="9" borderId="13" xfId="0" applyFont="1" applyFill="1" applyBorder="1" applyAlignment="1">
      <alignment horizontal="center" vertical="center"/>
    </xf>
    <xf numFmtId="184" fontId="0" fillId="0" borderId="1" xfId="0" applyNumberFormat="1" applyBorder="1">
      <alignment vertical="center"/>
    </xf>
    <xf numFmtId="185" fontId="0" fillId="0" borderId="0" xfId="0" applyNumberFormat="1">
      <alignment vertical="center"/>
    </xf>
    <xf numFmtId="0" fontId="2" fillId="4" borderId="18" xfId="0" applyFont="1" applyFill="1" applyBorder="1" applyAlignment="1">
      <alignment horizontal="center" vertical="center"/>
    </xf>
    <xf numFmtId="0" fontId="1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12" fillId="4" borderId="18" xfId="0" applyFont="1" applyFill="1" applyBorder="1" applyAlignment="1">
      <alignment horizontal="center" vertical="center" wrapText="1" shrinkToFi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wrapText="1"/>
    </xf>
    <xf numFmtId="0" fontId="5" fillId="5" borderId="1" xfId="0" applyFont="1" applyFill="1" applyBorder="1" applyAlignment="1">
      <alignment horizontal="center" vertical="center" shrinkToFit="1"/>
    </xf>
    <xf numFmtId="0" fontId="7" fillId="0" borderId="0" xfId="0" applyFont="1" applyFill="1" applyBorder="1" applyAlignment="1">
      <alignment horizontal="center" vertical="center"/>
    </xf>
    <xf numFmtId="0" fontId="7" fillId="0" borderId="0" xfId="0" applyFont="1" applyFill="1" applyBorder="1" applyAlignment="1">
      <alignment vertical="center" shrinkToFit="1"/>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7" fillId="0" borderId="18" xfId="0" applyFont="1" applyFill="1" applyBorder="1" applyAlignment="1">
      <alignment vertical="center" shrinkToFit="1"/>
    </xf>
    <xf numFmtId="0" fontId="21" fillId="5" borderId="39" xfId="0" applyFont="1" applyFill="1" applyBorder="1" applyAlignment="1">
      <alignment horizontal="center" vertical="center" shrinkToFit="1"/>
    </xf>
    <xf numFmtId="0" fontId="2" fillId="4" borderId="39" xfId="0" applyFont="1" applyFill="1" applyBorder="1" applyAlignment="1">
      <alignment horizontal="center" vertical="center"/>
    </xf>
    <xf numFmtId="0" fontId="7" fillId="0" borderId="40" xfId="0" applyFont="1" applyFill="1" applyBorder="1" applyAlignment="1">
      <alignment vertical="center" shrinkToFit="1"/>
    </xf>
    <xf numFmtId="176" fontId="0" fillId="0" borderId="0" xfId="0" applyNumberFormat="1" applyFill="1" applyBorder="1" applyAlignment="1">
      <alignment horizontal="center" vertical="center"/>
    </xf>
    <xf numFmtId="0" fontId="0" fillId="0" borderId="1" xfId="0" applyBorder="1" applyAlignment="1">
      <alignment vertical="center" wrapText="1"/>
    </xf>
    <xf numFmtId="0" fontId="17" fillId="5" borderId="1" xfId="0" applyFont="1" applyFill="1" applyBorder="1" applyAlignment="1">
      <alignment horizontal="center" vertical="center" shrinkToFit="1"/>
    </xf>
    <xf numFmtId="0" fontId="7" fillId="5" borderId="1" xfId="0" applyFont="1" applyFill="1" applyBorder="1" applyAlignment="1">
      <alignment horizontal="center" vertical="center" wrapText="1" shrinkToFit="1"/>
    </xf>
    <xf numFmtId="0" fontId="0" fillId="0" borderId="15" xfId="0" applyFill="1" applyBorder="1">
      <alignment vertical="center"/>
    </xf>
    <xf numFmtId="0" fontId="37" fillId="0" borderId="0" xfId="0" applyFont="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0" fillId="0" borderId="0" xfId="0" applyFont="1" applyBorder="1" applyAlignment="1">
      <alignment horizontal="center" vertical="center"/>
    </xf>
    <xf numFmtId="0" fontId="0" fillId="0" borderId="28"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0" fontId="2" fillId="0" borderId="25"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6" xfId="0" applyNumberFormat="1" applyFill="1" applyBorder="1" applyAlignment="1">
      <alignment horizontal="center" vertical="center"/>
    </xf>
    <xf numFmtId="0" fontId="0" fillId="0" borderId="18" xfId="0"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183" fontId="0" fillId="0" borderId="17" xfId="0" applyNumberFormat="1" applyFill="1" applyBorder="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4" borderId="0" xfId="0" applyFont="1" applyFill="1" applyBorder="1" applyAlignment="1">
      <alignment horizontal="center" vertical="center"/>
    </xf>
    <xf numFmtId="0" fontId="7" fillId="4" borderId="0"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6" fillId="4" borderId="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5"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18" xfId="0" applyFont="1" applyFill="1" applyBorder="1" applyAlignment="1">
      <alignment horizontal="center" vertical="center"/>
    </xf>
    <xf numFmtId="0" fontId="0" fillId="0" borderId="1" xfId="0" applyBorder="1" applyAlignment="1">
      <alignment horizontal="center" vertical="center"/>
    </xf>
    <xf numFmtId="176" fontId="0" fillId="0" borderId="0" xfId="0" applyNumberFormat="1" applyFill="1" applyBorder="1" applyAlignment="1">
      <alignment horizontal="center" vertical="center"/>
    </xf>
    <xf numFmtId="0" fontId="7"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18" fillId="0" borderId="6" xfId="0" applyFont="1" applyBorder="1" applyAlignment="1">
      <alignment horizontal="center" vertical="center" wrapText="1"/>
    </xf>
    <xf numFmtId="0" fontId="17" fillId="0" borderId="17" xfId="0" applyFont="1" applyBorder="1" applyAlignment="1">
      <alignment horizontal="center" vertical="center"/>
    </xf>
    <xf numFmtId="0" fontId="0" fillId="0" borderId="19" xfId="0" applyFill="1" applyBorder="1" applyAlignment="1">
      <alignment horizontal="center" vertical="center" shrinkToFit="1"/>
    </xf>
    <xf numFmtId="0" fontId="0" fillId="0" borderId="23" xfId="0" applyBorder="1" applyAlignment="1">
      <alignment vertical="center" shrinkToFit="1"/>
    </xf>
    <xf numFmtId="0" fontId="17" fillId="0" borderId="6" xfId="0" applyFont="1" applyBorder="1" applyAlignment="1">
      <alignment horizontal="center" vertical="center" wrapTex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176" fontId="0" fillId="3" borderId="14" xfId="0" applyNumberFormat="1" applyFill="1" applyBorder="1" applyAlignment="1">
      <alignment horizontal="center" vertical="center"/>
    </xf>
    <xf numFmtId="0" fontId="38" fillId="0" borderId="0" xfId="0" applyFont="1" applyAlignment="1">
      <alignment horizontal="center" vertical="center"/>
    </xf>
    <xf numFmtId="0" fontId="0" fillId="4" borderId="24"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23" xfId="0" applyFill="1" applyBorder="1" applyAlignment="1">
      <alignment horizontal="center" vertical="center" shrinkToFit="1"/>
    </xf>
    <xf numFmtId="0" fontId="5" fillId="0" borderId="19" xfId="0" applyFont="1" applyBorder="1" applyAlignment="1">
      <alignment horizontal="center" vertical="center" shrinkToFit="1"/>
    </xf>
    <xf numFmtId="0" fontId="5" fillId="0" borderId="0" xfId="0" applyFont="1" applyAlignment="1">
      <alignment horizontal="left" vertical="center" shrinkToFit="1"/>
    </xf>
    <xf numFmtId="176" fontId="21" fillId="3" borderId="12" xfId="0" applyNumberFormat="1" applyFont="1" applyFill="1" applyBorder="1" applyAlignment="1">
      <alignment horizontal="center" vertical="center"/>
    </xf>
    <xf numFmtId="176" fontId="21" fillId="3" borderId="13" xfId="0" applyNumberFormat="1" applyFont="1" applyFill="1" applyBorder="1" applyAlignment="1">
      <alignment horizontal="center" vertical="center"/>
    </xf>
    <xf numFmtId="0" fontId="21" fillId="3" borderId="12" xfId="0" applyFont="1" applyFill="1" applyBorder="1" applyAlignment="1">
      <alignment horizontal="center" vertical="center"/>
    </xf>
    <xf numFmtId="0" fontId="21" fillId="3" borderId="14" xfId="0" applyFont="1" applyFill="1" applyBorder="1" applyAlignment="1">
      <alignment horizontal="center" vertical="center"/>
    </xf>
    <xf numFmtId="0" fontId="21" fillId="3" borderId="13" xfId="0" applyFont="1" applyFill="1" applyBorder="1" applyAlignment="1">
      <alignment horizontal="center" vertical="center"/>
    </xf>
    <xf numFmtId="0" fontId="37" fillId="0" borderId="0"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1" fillId="0" borderId="28" xfId="0" applyFont="1" applyBorder="1" applyAlignment="1">
      <alignment horizontal="left" vertical="center"/>
    </xf>
    <xf numFmtId="0" fontId="0" fillId="0" borderId="28" xfId="0" applyFont="1" applyBorder="1" applyAlignment="1">
      <alignment horizontal="center" vertical="center"/>
    </xf>
    <xf numFmtId="0" fontId="5" fillId="4" borderId="1" xfId="0" applyFont="1" applyFill="1" applyBorder="1" applyAlignment="1">
      <alignment horizontal="center" vertical="center"/>
    </xf>
    <xf numFmtId="0" fontId="14" fillId="0" borderId="0" xfId="0" applyFont="1" applyAlignment="1">
      <alignment horizontal="center" vertical="center" shrinkToFit="1"/>
    </xf>
    <xf numFmtId="0" fontId="2" fillId="4" borderId="1" xfId="0" applyFont="1" applyFill="1" applyBorder="1" applyAlignment="1">
      <alignment horizontal="center" vertical="center"/>
    </xf>
    <xf numFmtId="0" fontId="26" fillId="0" borderId="0" xfId="0" applyFont="1" applyFill="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6" fillId="0" borderId="31" xfId="0" applyFont="1" applyBorder="1" applyAlignment="1">
      <alignment horizontal="right" wrapText="1" shrinkToFit="1"/>
    </xf>
    <xf numFmtId="0" fontId="26" fillId="0" borderId="0" xfId="0" applyFont="1" applyBorder="1" applyAlignment="1">
      <alignment horizontal="right" wrapText="1" shrinkToFit="1"/>
    </xf>
    <xf numFmtId="0" fontId="2" fillId="0" borderId="0" xfId="0" applyFont="1" applyAlignment="1">
      <alignment horizontal="center" vertical="center" shrinkToFit="1"/>
    </xf>
    <xf numFmtId="0" fontId="2" fillId="0" borderId="33" xfId="0" applyFont="1" applyBorder="1" applyAlignment="1">
      <alignment horizontal="center" vertical="center" shrinkToFit="1"/>
    </xf>
    <xf numFmtId="0" fontId="0" fillId="0" borderId="0" xfId="0" applyAlignment="1">
      <alignment horizontal="left" vertical="center"/>
    </xf>
    <xf numFmtId="0" fontId="0" fillId="0" borderId="0" xfId="0" applyAlignment="1">
      <alignment horizontal="left" vertical="center" wrapText="1"/>
    </xf>
    <xf numFmtId="0" fontId="23" fillId="0" borderId="0" xfId="0" applyFont="1" applyAlignment="1">
      <alignment horizontal="left" vertical="center"/>
    </xf>
    <xf numFmtId="181" fontId="39" fillId="8" borderId="12" xfId="0" applyNumberFormat="1" applyFont="1" applyFill="1" applyBorder="1" applyAlignment="1">
      <alignment horizontal="center" vertical="center"/>
    </xf>
    <xf numFmtId="181" fontId="39" fillId="8" borderId="13" xfId="0" applyNumberFormat="1" applyFont="1" applyFill="1" applyBorder="1" applyAlignment="1">
      <alignment horizontal="center" vertical="center"/>
    </xf>
  </cellXfs>
  <cellStyles count="2">
    <cellStyle name="パーセント" xfId="1" builtinId="5"/>
    <cellStyle name="標準" xfId="0" builtinId="0"/>
  </cellStyles>
  <dxfs count="2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99FFCC"/>
      <color rgb="FFFFFFCC"/>
      <color rgb="FFFF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269327</xdr:colOff>
      <xdr:row>0</xdr:row>
      <xdr:rowOff>36635</xdr:rowOff>
    </xdr:from>
    <xdr:to>
      <xdr:col>9</xdr:col>
      <xdr:colOff>505810</xdr:colOff>
      <xdr:row>1</xdr:row>
      <xdr:rowOff>21982</xdr:rowOff>
    </xdr:to>
    <xdr:sp macro="" textlink="">
      <xdr:nvSpPr>
        <xdr:cNvPr id="2" name="正方形/長方形 1"/>
        <xdr:cNvSpPr/>
      </xdr:nvSpPr>
      <xdr:spPr>
        <a:xfrm>
          <a:off x="5281448" y="36635"/>
          <a:ext cx="768569"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131885</xdr:colOff>
      <xdr:row>0</xdr:row>
      <xdr:rowOff>3790</xdr:rowOff>
    </xdr:from>
    <xdr:to>
      <xdr:col>7</xdr:col>
      <xdr:colOff>930520</xdr:colOff>
      <xdr:row>0</xdr:row>
      <xdr:rowOff>291309</xdr:rowOff>
    </xdr:to>
    <xdr:sp macro="" textlink="">
      <xdr:nvSpPr>
        <xdr:cNvPr id="2" name="正方形/長方形 1"/>
        <xdr:cNvSpPr/>
      </xdr:nvSpPr>
      <xdr:spPr>
        <a:xfrm>
          <a:off x="5301661" y="3790"/>
          <a:ext cx="798635"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685545</xdr:colOff>
      <xdr:row>0</xdr:row>
      <xdr:rowOff>53200</xdr:rowOff>
    </xdr:from>
    <xdr:to>
      <xdr:col>15</xdr:col>
      <xdr:colOff>188015</xdr:colOff>
      <xdr:row>1</xdr:row>
      <xdr:rowOff>38547</xdr:rowOff>
    </xdr:to>
    <xdr:sp macro="" textlink="">
      <xdr:nvSpPr>
        <xdr:cNvPr id="2" name="正方形/長方形 1"/>
        <xdr:cNvSpPr/>
      </xdr:nvSpPr>
      <xdr:spPr>
        <a:xfrm>
          <a:off x="8073632" y="53200"/>
          <a:ext cx="976774"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8</xdr:col>
      <xdr:colOff>2623038</xdr:colOff>
      <xdr:row>0</xdr:row>
      <xdr:rowOff>29307</xdr:rowOff>
    </xdr:from>
    <xdr:to>
      <xdr:col>8</xdr:col>
      <xdr:colOff>3194539</xdr:colOff>
      <xdr:row>1</xdr:row>
      <xdr:rowOff>14654</xdr:rowOff>
    </xdr:to>
    <xdr:sp macro="" textlink="">
      <xdr:nvSpPr>
        <xdr:cNvPr id="4" name="正方形/長方形 3"/>
        <xdr:cNvSpPr/>
      </xdr:nvSpPr>
      <xdr:spPr>
        <a:xfrm>
          <a:off x="5661513" y="29307"/>
          <a:ext cx="57150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15036</xdr:rowOff>
    </xdr:from>
    <xdr:to>
      <xdr:col>15</xdr:col>
      <xdr:colOff>223344</xdr:colOff>
      <xdr:row>1</xdr:row>
      <xdr:rowOff>383</xdr:rowOff>
    </xdr:to>
    <xdr:sp macro="" textlink="">
      <xdr:nvSpPr>
        <xdr:cNvPr id="2" name="正方形/長方形 1"/>
        <xdr:cNvSpPr/>
      </xdr:nvSpPr>
      <xdr:spPr>
        <a:xfrm>
          <a:off x="5708311" y="15036"/>
          <a:ext cx="691629" cy="23446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5558</xdr:colOff>
      <xdr:row>18</xdr:row>
      <xdr:rowOff>26275</xdr:rowOff>
    </xdr:from>
    <xdr:to>
      <xdr:col>14</xdr:col>
      <xdr:colOff>315311</xdr:colOff>
      <xdr:row>23</xdr:row>
      <xdr:rowOff>1</xdr:rowOff>
    </xdr:to>
    <xdr:cxnSp macro="">
      <xdr:nvCxnSpPr>
        <xdr:cNvPr id="5" name="直線矢印コネクタ 4"/>
        <xdr:cNvCxnSpPr/>
      </xdr:nvCxnSpPr>
      <xdr:spPr>
        <a:xfrm flipV="1">
          <a:off x="4768058" y="3921672"/>
          <a:ext cx="992925" cy="95907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0</xdr:rowOff>
    </xdr:from>
    <xdr:to>
      <xdr:col>14</xdr:col>
      <xdr:colOff>352246</xdr:colOff>
      <xdr:row>26</xdr:row>
      <xdr:rowOff>0</xdr:rowOff>
    </xdr:to>
    <xdr:cxnSp macro="">
      <xdr:nvCxnSpPr>
        <xdr:cNvPr id="7" name="直線矢印コネクタ 6"/>
        <xdr:cNvCxnSpPr/>
      </xdr:nvCxnSpPr>
      <xdr:spPr>
        <a:xfrm>
          <a:off x="5840111" y="3919904"/>
          <a:ext cx="0" cy="25790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27</xdr:row>
      <xdr:rowOff>0</xdr:rowOff>
    </xdr:from>
    <xdr:to>
      <xdr:col>14</xdr:col>
      <xdr:colOff>353684</xdr:colOff>
      <xdr:row>43</xdr:row>
      <xdr:rowOff>205154</xdr:rowOff>
    </xdr:to>
    <xdr:cxnSp macro="">
      <xdr:nvCxnSpPr>
        <xdr:cNvPr id="10" name="直線矢印コネクタ 9"/>
        <xdr:cNvCxnSpPr/>
      </xdr:nvCxnSpPr>
      <xdr:spPr>
        <a:xfrm>
          <a:off x="5841549" y="6323135"/>
          <a:ext cx="0" cy="276957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41</xdr:row>
      <xdr:rowOff>21981</xdr:rowOff>
    </xdr:from>
    <xdr:to>
      <xdr:col>12</xdr:col>
      <xdr:colOff>349730</xdr:colOff>
      <xdr:row>41</xdr:row>
      <xdr:rowOff>197564</xdr:rowOff>
    </xdr:to>
    <xdr:cxnSp macro="">
      <xdr:nvCxnSpPr>
        <xdr:cNvPr id="32" name="直線矢印コネクタ 31"/>
        <xdr:cNvCxnSpPr/>
      </xdr:nvCxnSpPr>
      <xdr:spPr>
        <a:xfrm>
          <a:off x="4460134" y="8953500"/>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43</xdr:row>
      <xdr:rowOff>7327</xdr:rowOff>
    </xdr:from>
    <xdr:to>
      <xdr:col>12</xdr:col>
      <xdr:colOff>349730</xdr:colOff>
      <xdr:row>43</xdr:row>
      <xdr:rowOff>182910</xdr:rowOff>
    </xdr:to>
    <xdr:cxnSp macro="">
      <xdr:nvCxnSpPr>
        <xdr:cNvPr id="34" name="直線矢印コネクタ 33"/>
        <xdr:cNvCxnSpPr/>
      </xdr:nvCxnSpPr>
      <xdr:spPr>
        <a:xfrm>
          <a:off x="4460134" y="8968154"/>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7327</xdr:colOff>
      <xdr:row>27</xdr:row>
      <xdr:rowOff>39414</xdr:rowOff>
    </xdr:from>
    <xdr:to>
      <xdr:col>14</xdr:col>
      <xdr:colOff>308742</xdr:colOff>
      <xdr:row>43</xdr:row>
      <xdr:rowOff>195630</xdr:rowOff>
    </xdr:to>
    <xdr:cxnSp macro="">
      <xdr:nvCxnSpPr>
        <xdr:cNvPr id="35" name="直線矢印コネクタ 34"/>
        <xdr:cNvCxnSpPr/>
      </xdr:nvCxnSpPr>
      <xdr:spPr>
        <a:xfrm flipV="1">
          <a:off x="4769827" y="5734707"/>
          <a:ext cx="984587" cy="336844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6250"/>
          <a:ext cx="8562975" cy="4162425"/>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71550"/>
          <a:ext cx="5648326" cy="342900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306206" y="333375"/>
            <a:ext cx="534311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（ア）保育従事者</a:t>
            </a:r>
            <a:r>
              <a:rPr kumimoji="1" lang="ja-JP" altLang="en-US" sz="1100">
                <a:solidFill>
                  <a:schemeClr val="dk1"/>
                </a:solidFill>
                <a:effectLst/>
                <a:latin typeface="+mn-lt"/>
                <a:ea typeface="+mn-ea"/>
                <a:cs typeface="+mn-cs"/>
              </a:rPr>
              <a:t>（基</a:t>
            </a:r>
            <a:r>
              <a:rPr kumimoji="1" lang="ja-JP" altLang="ja-JP" sz="1100">
                <a:solidFill>
                  <a:schemeClr val="dk1"/>
                </a:solidFill>
                <a:effectLst/>
                <a:latin typeface="+mn-lt"/>
                <a:ea typeface="+mn-ea"/>
                <a:cs typeface="+mn-cs"/>
              </a:rPr>
              <a:t>本分単価における必要保育従事者</a:t>
            </a:r>
            <a:r>
              <a:rPr kumimoji="1" lang="ja-JP" altLang="en-US" sz="1100">
                <a:solidFill>
                  <a:schemeClr val="dk1"/>
                </a:solidFill>
                <a:effectLst/>
                <a:latin typeface="+mn-lt"/>
                <a:ea typeface="+mn-ea"/>
                <a:cs typeface="+mn-cs"/>
              </a:rPr>
              <a:t>数等）</a:t>
            </a:r>
            <a:endParaRPr kumimoji="1" lang="ja-JP" altLang="en-US" sz="1400"/>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105525" y="962025"/>
          <a:ext cx="2438400" cy="342900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52551"/>
          <a:ext cx="2552700" cy="2876550"/>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14</xdr:row>
      <xdr:rowOff>89647</xdr:rowOff>
    </xdr:to>
    <xdr:grpSp>
      <xdr:nvGrpSpPr>
        <xdr:cNvPr id="14" name="グループ化 13"/>
        <xdr:cNvGrpSpPr/>
      </xdr:nvGrpSpPr>
      <xdr:grpSpPr>
        <a:xfrm>
          <a:off x="3276601" y="1352551"/>
          <a:ext cx="2552700" cy="2070846"/>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14</xdr:row>
      <xdr:rowOff>168089</xdr:rowOff>
    </xdr:to>
    <xdr:grpSp>
      <xdr:nvGrpSpPr>
        <xdr:cNvPr id="30" name="グループ化 29"/>
        <xdr:cNvGrpSpPr/>
      </xdr:nvGrpSpPr>
      <xdr:grpSpPr>
        <a:xfrm>
          <a:off x="6315075" y="1476375"/>
          <a:ext cx="2066925" cy="2025464"/>
          <a:chOff x="7124700" y="1247775"/>
          <a:chExt cx="2066925" cy="2025391"/>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管理者</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非常勤調理員等</a:t>
            </a:r>
            <a:r>
              <a:rPr kumimoji="1" lang="en-US" altLang="ja-JP" sz="1100"/>
              <a:t>※3</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※4</a:t>
            </a:r>
            <a:endParaRPr kumimoji="1" lang="ja-JP" altLang="en-US" sz="1100"/>
          </a:p>
        </xdr:txBody>
      </xdr:sp>
      <xdr:sp macro="" textlink="">
        <xdr:nvSpPr>
          <xdr:cNvPr id="20" name="テキスト ボックス 19"/>
          <xdr:cNvSpPr txBox="1"/>
        </xdr:nvSpPr>
        <xdr:spPr>
          <a:xfrm>
            <a:off x="7124700" y="2705101"/>
            <a:ext cx="2047874" cy="56806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xdr:txBody>
      </xdr:sp>
    </xdr:grpSp>
    <xdr:clientData/>
  </xdr:twoCellAnchor>
  <xdr:twoCellAnchor>
    <xdr:from>
      <xdr:col>5</xdr:col>
      <xdr:colOff>95251</xdr:colOff>
      <xdr:row>7</xdr:row>
      <xdr:rowOff>104774</xdr:rowOff>
    </xdr:from>
    <xdr:to>
      <xdr:col>8</xdr:col>
      <xdr:colOff>85756</xdr:colOff>
      <xdr:row>8</xdr:row>
      <xdr:rowOff>142551</xdr:rowOff>
    </xdr:to>
    <xdr:sp macro="" textlink="">
      <xdr:nvSpPr>
        <xdr:cNvPr id="23" name="テキスト ボックス 22"/>
        <xdr:cNvSpPr txBox="1"/>
      </xdr:nvSpPr>
      <xdr:spPr>
        <a:xfrm>
          <a:off x="3513045" y="1752039"/>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a:solidFill>
                <a:schemeClr val="dk1"/>
              </a:solidFill>
              <a:effectLst/>
              <a:latin typeface="+mn-lt"/>
              <a:ea typeface="+mn-ea"/>
              <a:cs typeface="+mn-cs"/>
            </a:rPr>
            <a:t>保育標準時間対応</a:t>
          </a:r>
          <a:r>
            <a:rPr kumimoji="1" lang="en-US" altLang="ja-JP" sz="1100">
              <a:solidFill>
                <a:schemeClr val="dk1"/>
              </a:solidFill>
              <a:effectLst/>
              <a:latin typeface="+mn-lt"/>
              <a:ea typeface="+mn-ea"/>
              <a:cs typeface="+mn-cs"/>
            </a:rPr>
            <a:t>※1</a:t>
          </a:r>
          <a:endParaRPr lang="ja-JP" altLang="ja-JP">
            <a:effectLst/>
          </a:endParaRPr>
        </a:p>
      </xdr:txBody>
    </xdr:sp>
    <xdr:clientData/>
  </xdr:twoCellAnchor>
  <xdr:twoCellAnchor>
    <xdr:from>
      <xdr:col>1</xdr:col>
      <xdr:colOff>85695</xdr:colOff>
      <xdr:row>7</xdr:row>
      <xdr:rowOff>114300</xdr:rowOff>
    </xdr:from>
    <xdr:to>
      <xdr:col>4</xdr:col>
      <xdr:colOff>77912</xdr:colOff>
      <xdr:row>16</xdr:row>
      <xdr:rowOff>180975</xdr:rowOff>
    </xdr:to>
    <xdr:grpSp>
      <xdr:nvGrpSpPr>
        <xdr:cNvPr id="28" name="グループ化 27"/>
        <xdr:cNvGrpSpPr/>
      </xdr:nvGrpSpPr>
      <xdr:grpSpPr>
        <a:xfrm>
          <a:off x="771495" y="1781175"/>
          <a:ext cx="2049617" cy="2209800"/>
          <a:chOff x="1247776" y="1476375"/>
          <a:chExt cx="2049591" cy="2209800"/>
        </a:xfrm>
      </xdr:grpSpPr>
      <xdr:sp macro="" textlink="">
        <xdr:nvSpPr>
          <xdr:cNvPr id="21" name="テキスト ボックス 20"/>
          <xdr:cNvSpPr txBox="1"/>
        </xdr:nvSpPr>
        <xdr:spPr>
          <a:xfrm>
            <a:off x="1247776" y="1476375"/>
            <a:ext cx="2047874" cy="133528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・主任保育士</a:t>
            </a:r>
            <a:endParaRPr lang="ja-JP" altLang="ja-JP">
              <a:effectLst/>
            </a:endParaRPr>
          </a:p>
          <a:p>
            <a:r>
              <a:rPr kumimoji="1" lang="ja-JP" altLang="ja-JP" sz="1100">
                <a:solidFill>
                  <a:schemeClr val="dk1"/>
                </a:solidFill>
                <a:effectLst/>
                <a:latin typeface="+mn-lt"/>
                <a:ea typeface="+mn-ea"/>
                <a:cs typeface="+mn-cs"/>
              </a:rPr>
              <a:t>　・副主任保育士</a:t>
            </a:r>
            <a:endParaRPr lang="ja-JP" altLang="ja-JP">
              <a:effectLst/>
            </a:endParaRPr>
          </a:p>
          <a:p>
            <a:r>
              <a:rPr kumimoji="1" lang="ja-JP" altLang="ja-JP" sz="1100">
                <a:solidFill>
                  <a:schemeClr val="dk1"/>
                </a:solidFill>
                <a:effectLst/>
                <a:latin typeface="+mn-lt"/>
                <a:ea typeface="+mn-ea"/>
                <a:cs typeface="+mn-cs"/>
              </a:rPr>
              <a:t>　・専門リーダー</a:t>
            </a:r>
            <a:endParaRPr lang="ja-JP" altLang="ja-JP">
              <a:effectLst/>
            </a:endParaRPr>
          </a:p>
          <a:p>
            <a:r>
              <a:rPr kumimoji="1" lang="ja-JP" altLang="ja-JP" sz="1100">
                <a:solidFill>
                  <a:schemeClr val="dk1"/>
                </a:solidFill>
                <a:effectLst/>
                <a:latin typeface="+mn-lt"/>
                <a:ea typeface="+mn-ea"/>
                <a:cs typeface="+mn-cs"/>
              </a:rPr>
              <a:t>　・職務分野別リーダー</a:t>
            </a:r>
            <a:endParaRPr lang="ja-JP" altLang="ja-JP">
              <a:effectLst/>
            </a:endParaRPr>
          </a:p>
          <a:p>
            <a:r>
              <a:rPr kumimoji="1" lang="ja-JP" altLang="ja-JP" sz="1100">
                <a:solidFill>
                  <a:schemeClr val="dk1"/>
                </a:solidFill>
                <a:effectLst/>
                <a:latin typeface="+mn-lt"/>
                <a:ea typeface="+mn-ea"/>
                <a:cs typeface="+mn-cs"/>
              </a:rPr>
              <a:t>　・一般保育士等</a:t>
            </a:r>
            <a:endParaRPr lang="ja-JP" altLang="ja-JP">
              <a:effectLst/>
            </a:endParaRPr>
          </a:p>
        </xdr:txBody>
      </xdr:sp>
      <xdr:sp macro="" textlink="">
        <xdr:nvSpPr>
          <xdr:cNvPr id="27" name="テキスト ボックス 26"/>
          <xdr:cNvSpPr txBox="1"/>
        </xdr:nvSpPr>
        <xdr:spPr>
          <a:xfrm>
            <a:off x="1249493" y="2879675"/>
            <a:ext cx="2047874" cy="806500"/>
          </a:xfrm>
          <a:prstGeom prst="rect">
            <a:avLst/>
          </a:prstGeom>
          <a:solidFill>
            <a:schemeClr val="bg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t>１・２歳児６人につき１人</a:t>
            </a:r>
            <a:endParaRPr kumimoji="1" lang="en-US" altLang="ja-JP" sz="1000"/>
          </a:p>
          <a:p>
            <a:pPr algn="l"/>
            <a:r>
              <a:rPr kumimoji="1" lang="ja-JP" altLang="en-US" sz="1000"/>
              <a:t>０歳児３人につき１人</a:t>
            </a:r>
            <a:endParaRPr kumimoji="1" lang="en-US" altLang="ja-JP" sz="1000"/>
          </a:p>
          <a:p>
            <a:pPr algn="l"/>
            <a:r>
              <a:rPr kumimoji="1" lang="ja-JP" altLang="en-US" sz="1000"/>
              <a:t>上記に加えて１人</a:t>
            </a:r>
            <a:endParaRPr kumimoji="1" lang="en-US" altLang="ja-JP" sz="1000"/>
          </a:p>
        </xdr:txBody>
      </xdr:sp>
    </xdr:grpSp>
    <xdr:clientData/>
  </xdr:twoCellAnchor>
  <xdr:twoCellAnchor>
    <xdr:from>
      <xdr:col>5</xdr:col>
      <xdr:colOff>96371</xdr:colOff>
      <xdr:row>15</xdr:row>
      <xdr:rowOff>139515</xdr:rowOff>
    </xdr:from>
    <xdr:to>
      <xdr:col>8</xdr:col>
      <xdr:colOff>86876</xdr:colOff>
      <xdr:row>16</xdr:row>
      <xdr:rowOff>177292</xdr:rowOff>
    </xdr:to>
    <xdr:sp macro="" textlink="">
      <xdr:nvSpPr>
        <xdr:cNvPr id="26" name="テキスト ボックス 25"/>
        <xdr:cNvSpPr txBox="1"/>
      </xdr:nvSpPr>
      <xdr:spPr>
        <a:xfrm>
          <a:off x="3514165" y="3669368"/>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dk1"/>
              </a:solidFill>
              <a:effectLst/>
              <a:latin typeface="+mn-lt"/>
              <a:ea typeface="+mn-ea"/>
              <a:cs typeface="+mn-cs"/>
            </a:rPr>
            <a:t>非常勤保育士</a:t>
          </a:r>
          <a:r>
            <a:rPr kumimoji="1" lang="en-US" altLang="ja-JP" sz="1100">
              <a:solidFill>
                <a:schemeClr val="dk1"/>
              </a:solidFill>
              <a:effectLst/>
              <a:latin typeface="+mn-lt"/>
              <a:ea typeface="+mn-ea"/>
              <a:cs typeface="+mn-cs"/>
            </a:rPr>
            <a:t>※2</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27214</xdr:colOff>
      <xdr:row>13</xdr:row>
      <xdr:rowOff>244928</xdr:rowOff>
    </xdr:from>
    <xdr:to>
      <xdr:col>26</xdr:col>
      <xdr:colOff>462643</xdr:colOff>
      <xdr:row>23</xdr:row>
      <xdr:rowOff>149677</xdr:rowOff>
    </xdr:to>
    <xdr:sp macro="" textlink="">
      <xdr:nvSpPr>
        <xdr:cNvPr id="63" name="角丸四角形 62"/>
        <xdr:cNvSpPr/>
      </xdr:nvSpPr>
      <xdr:spPr>
        <a:xfrm flipV="1">
          <a:off x="12273643" y="3428999"/>
          <a:ext cx="5878286"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367391</xdr:colOff>
      <xdr:row>3</xdr:row>
      <xdr:rowOff>-1</xdr:rowOff>
    </xdr:from>
    <xdr:to>
      <xdr:col>26</xdr:col>
      <xdr:colOff>449034</xdr:colOff>
      <xdr:row>12</xdr:row>
      <xdr:rowOff>149677</xdr:rowOff>
    </xdr:to>
    <xdr:sp macro="" textlink="">
      <xdr:nvSpPr>
        <xdr:cNvPr id="62" name="角丸四角形 61"/>
        <xdr:cNvSpPr/>
      </xdr:nvSpPr>
      <xdr:spPr>
        <a:xfrm flipV="1">
          <a:off x="367391" y="734785"/>
          <a:ext cx="17770929"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554182</xdr:colOff>
      <xdr:row>8</xdr:row>
      <xdr:rowOff>155862</xdr:rowOff>
    </xdr:from>
    <xdr:to>
      <xdr:col>22</xdr:col>
      <xdr:colOff>329046</xdr:colOff>
      <xdr:row>12</xdr:row>
      <xdr:rowOff>51952</xdr:rowOff>
    </xdr:to>
    <xdr:sp macro="" textlink="">
      <xdr:nvSpPr>
        <xdr:cNvPr id="532" name="角丸四角形 531"/>
        <xdr:cNvSpPr/>
      </xdr:nvSpPr>
      <xdr:spPr>
        <a:xfrm flipV="1">
          <a:off x="3325091" y="2095498"/>
          <a:ext cx="10841182" cy="865909"/>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519546</xdr:colOff>
      <xdr:row>3</xdr:row>
      <xdr:rowOff>123259</xdr:rowOff>
    </xdr:from>
    <xdr:to>
      <xdr:col>22</xdr:col>
      <xdr:colOff>346364</xdr:colOff>
      <xdr:row>6</xdr:row>
      <xdr:rowOff>212907</xdr:rowOff>
    </xdr:to>
    <xdr:sp macro="" textlink="">
      <xdr:nvSpPr>
        <xdr:cNvPr id="531" name="角丸四角形 530"/>
        <xdr:cNvSpPr/>
      </xdr:nvSpPr>
      <xdr:spPr>
        <a:xfrm flipV="1">
          <a:off x="3290455" y="850623"/>
          <a:ext cx="10893136" cy="817011"/>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xdr:colOff>
      <xdr:row>4</xdr:row>
      <xdr:rowOff>95117</xdr:rowOff>
    </xdr:from>
    <xdr:to>
      <xdr:col>11</xdr:col>
      <xdr:colOff>61331</xdr:colOff>
      <xdr:row>5</xdr:row>
      <xdr:rowOff>224904</xdr:rowOff>
    </xdr:to>
    <xdr:sp macro="" textlink="">
      <xdr:nvSpPr>
        <xdr:cNvPr id="167" name="正方形/長方形 166"/>
        <xdr:cNvSpPr/>
      </xdr:nvSpPr>
      <xdr:spPr>
        <a:xfrm>
          <a:off x="4173682" y="1064935"/>
          <a:ext cx="2122194" cy="37224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保育士の配置</a:t>
          </a:r>
        </a:p>
      </xdr:txBody>
    </xdr:sp>
    <xdr:clientData/>
  </xdr:twoCellAnchor>
  <xdr:twoCellAnchor>
    <xdr:from>
      <xdr:col>3</xdr:col>
      <xdr:colOff>382238</xdr:colOff>
      <xdr:row>16</xdr:row>
      <xdr:rowOff>103910</xdr:rowOff>
    </xdr:from>
    <xdr:to>
      <xdr:col>8</xdr:col>
      <xdr:colOff>165759</xdr:colOff>
      <xdr:row>18</xdr:row>
      <xdr:rowOff>38349</xdr:rowOff>
    </xdr:to>
    <xdr:sp macro="" textlink="">
      <xdr:nvSpPr>
        <xdr:cNvPr id="169" name="正方形/長方形 168"/>
        <xdr:cNvSpPr/>
      </xdr:nvSpPr>
      <xdr:spPr>
        <a:xfrm>
          <a:off x="1074965" y="3983183"/>
          <a:ext cx="3247158" cy="41934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3</xdr:col>
      <xdr:colOff>359106</xdr:colOff>
      <xdr:row>23</xdr:row>
      <xdr:rowOff>182707</xdr:rowOff>
    </xdr:from>
    <xdr:to>
      <xdr:col>8</xdr:col>
      <xdr:colOff>184949</xdr:colOff>
      <xdr:row>26</xdr:row>
      <xdr:rowOff>170395</xdr:rowOff>
    </xdr:to>
    <xdr:sp macro="" textlink="">
      <xdr:nvSpPr>
        <xdr:cNvPr id="194" name="正方形/長方形 193"/>
        <xdr:cNvSpPr/>
      </xdr:nvSpPr>
      <xdr:spPr>
        <a:xfrm>
          <a:off x="1051833" y="5759162"/>
          <a:ext cx="3289480" cy="715051"/>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基本分単価における必要保育従事者数等を満たしている</a:t>
          </a:r>
        </a:p>
      </xdr:txBody>
    </xdr:sp>
    <xdr:clientData/>
  </xdr:twoCellAnchor>
  <xdr:twoCellAnchor>
    <xdr:from>
      <xdr:col>4</xdr:col>
      <xdr:colOff>345451</xdr:colOff>
      <xdr:row>7</xdr:row>
      <xdr:rowOff>222443</xdr:rowOff>
    </xdr:from>
    <xdr:to>
      <xdr:col>4</xdr:col>
      <xdr:colOff>381451</xdr:colOff>
      <xdr:row>8</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303368</xdr:colOff>
      <xdr:row>9</xdr:row>
      <xdr:rowOff>141379</xdr:rowOff>
    </xdr:from>
    <xdr:to>
      <xdr:col>12</xdr:col>
      <xdr:colOff>13608</xdr:colOff>
      <xdr:row>11</xdr:row>
      <xdr:rowOff>36196</xdr:rowOff>
    </xdr:to>
    <xdr:sp macro="" textlink="">
      <xdr:nvSpPr>
        <xdr:cNvPr id="224" name="正方形/長方形 223"/>
        <xdr:cNvSpPr/>
      </xdr:nvSpPr>
      <xdr:spPr>
        <a:xfrm>
          <a:off x="3705154" y="2345736"/>
          <a:ext cx="3112025" cy="3846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保育標準時間対応の非常勤保育士の配置</a:t>
          </a:r>
        </a:p>
      </xdr:txBody>
    </xdr:sp>
    <xdr:clientData/>
  </xdr:twoCellAnchor>
  <xdr:twoCellAnchor>
    <xdr:from>
      <xdr:col>8</xdr:col>
      <xdr:colOff>187211</xdr:colOff>
      <xdr:row>12</xdr:row>
      <xdr:rowOff>228600</xdr:rowOff>
    </xdr:from>
    <xdr:to>
      <xdr:col>8</xdr:col>
      <xdr:colOff>223211</xdr:colOff>
      <xdr:row>13</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618391</xdr:colOff>
      <xdr:row>18</xdr:row>
      <xdr:rowOff>38349</xdr:rowOff>
    </xdr:from>
    <xdr:to>
      <xdr:col>5</xdr:col>
      <xdr:colOff>620362</xdr:colOff>
      <xdr:row>23</xdr:row>
      <xdr:rowOff>182707</xdr:rowOff>
    </xdr:to>
    <xdr:cxnSp macro="">
      <xdr:nvCxnSpPr>
        <xdr:cNvPr id="244" name="カギ線コネクタ 39"/>
        <xdr:cNvCxnSpPr>
          <a:stCxn id="169" idx="2"/>
          <a:endCxn id="194" idx="0"/>
        </xdr:cNvCxnSpPr>
      </xdr:nvCxnSpPr>
      <xdr:spPr>
        <a:xfrm flipH="1">
          <a:off x="2696573" y="4402531"/>
          <a:ext cx="1971" cy="135663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612207</xdr:colOff>
      <xdr:row>11</xdr:row>
      <xdr:rowOff>36197</xdr:rowOff>
    </xdr:from>
    <xdr:to>
      <xdr:col>9</xdr:col>
      <xdr:colOff>498667</xdr:colOff>
      <xdr:row>23</xdr:row>
      <xdr:rowOff>182708</xdr:rowOff>
    </xdr:to>
    <xdr:cxnSp macro="">
      <xdr:nvCxnSpPr>
        <xdr:cNvPr id="265" name="カギ線コネクタ 264"/>
        <xdr:cNvCxnSpPr>
          <a:stCxn id="224" idx="2"/>
          <a:endCxn id="194" idx="0"/>
        </xdr:cNvCxnSpPr>
      </xdr:nvCxnSpPr>
      <xdr:spPr>
        <a:xfrm rot="5400000">
          <a:off x="2414396" y="2969293"/>
          <a:ext cx="3085654" cy="2607889"/>
        </a:xfrm>
        <a:prstGeom prst="bentConnector3">
          <a:avLst>
            <a:gd name="adj1" fmla="val 74254"/>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500037</xdr:colOff>
      <xdr:row>37</xdr:row>
      <xdr:rowOff>205490</xdr:rowOff>
    </xdr:from>
    <xdr:to>
      <xdr:col>14</xdr:col>
      <xdr:colOff>620889</xdr:colOff>
      <xdr:row>39</xdr:row>
      <xdr:rowOff>140299</xdr:rowOff>
    </xdr:to>
    <xdr:grpSp>
      <xdr:nvGrpSpPr>
        <xdr:cNvPr id="7" name="グループ化 6"/>
        <xdr:cNvGrpSpPr/>
      </xdr:nvGrpSpPr>
      <xdr:grpSpPr>
        <a:xfrm>
          <a:off x="2578219" y="9176308"/>
          <a:ext cx="7740852" cy="419718"/>
          <a:chOff x="-3752401" y="8438788"/>
          <a:chExt cx="7738995" cy="421664"/>
        </a:xfrm>
      </xdr:grpSpPr>
      <xdr:sp macro="" textlink="">
        <xdr:nvSpPr>
          <xdr:cNvPr id="36" name="正方形/長方形 35"/>
          <xdr:cNvSpPr/>
        </xdr:nvSpPr>
        <xdr:spPr>
          <a:xfrm>
            <a:off x="-3752401" y="8438788"/>
            <a:ext cx="2853227" cy="42166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a:t>
            </a:r>
            <a:r>
              <a:rPr kumimoji="1" lang="en-US" altLang="ja-JP" sz="1200">
                <a:solidFill>
                  <a:schemeClr val="tx1"/>
                </a:solidFill>
              </a:rPr>
              <a:t>2</a:t>
            </a:r>
            <a:r>
              <a:rPr kumimoji="1" lang="ja-JP" altLang="en-US" sz="1200">
                <a:solidFill>
                  <a:schemeClr val="tx1"/>
                </a:solidFill>
              </a:rPr>
              <a:t>人につき保育士</a:t>
            </a:r>
            <a:r>
              <a:rPr kumimoji="1" lang="en-US" altLang="ja-JP" sz="1200">
                <a:solidFill>
                  <a:schemeClr val="tx1"/>
                </a:solidFill>
              </a:rPr>
              <a:t>1</a:t>
            </a:r>
            <a:r>
              <a:rPr kumimoji="1" lang="ja-JP" altLang="en-US" sz="1200">
                <a:solidFill>
                  <a:schemeClr val="tx1"/>
                </a:solidFill>
              </a:rPr>
              <a:t>人を配置</a:t>
            </a:r>
          </a:p>
        </xdr:txBody>
      </xdr:sp>
      <xdr:cxnSp macro="">
        <xdr:nvCxnSpPr>
          <xdr:cNvPr id="41" name="カギ線コネクタ 40"/>
          <xdr:cNvCxnSpPr>
            <a:stCxn id="36" idx="3"/>
            <a:endCxn id="345" idx="1"/>
          </xdr:cNvCxnSpPr>
        </xdr:nvCxnSpPr>
        <xdr:spPr>
          <a:xfrm>
            <a:off x="-899174" y="8649620"/>
            <a:ext cx="2328658" cy="523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5" name="正方形/長方形 344"/>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障害児保育加算</a:t>
            </a:r>
          </a:p>
        </xdr:txBody>
      </xdr:sp>
    </xdr:grpSp>
    <xdr:clientData/>
  </xdr:twoCellAnchor>
  <xdr:twoCellAnchor>
    <xdr:from>
      <xdr:col>14</xdr:col>
      <xdr:colOff>622584</xdr:colOff>
      <xdr:row>43</xdr:row>
      <xdr:rowOff>183548</xdr:rowOff>
    </xdr:from>
    <xdr:to>
      <xdr:col>20</xdr:col>
      <xdr:colOff>542610</xdr:colOff>
      <xdr:row>43</xdr:row>
      <xdr:rowOff>188817</xdr:rowOff>
    </xdr:to>
    <xdr:cxnSp macro="">
      <xdr:nvCxnSpPr>
        <xdr:cNvPr id="346" name="カギ線コネクタ 28"/>
        <xdr:cNvCxnSpPr>
          <a:stCxn id="118" idx="1"/>
          <a:endCxn id="49" idx="3"/>
        </xdr:cNvCxnSpPr>
      </xdr:nvCxnSpPr>
      <xdr:spPr>
        <a:xfrm flipH="1">
          <a:off x="10192408" y="10302460"/>
          <a:ext cx="4010173" cy="52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252234</xdr:colOff>
      <xdr:row>4</xdr:row>
      <xdr:rowOff>157006</xdr:rowOff>
    </xdr:from>
    <xdr:to>
      <xdr:col>26</xdr:col>
      <xdr:colOff>346364</xdr:colOff>
      <xdr:row>11</xdr:row>
      <xdr:rowOff>140491</xdr:rowOff>
    </xdr:to>
    <xdr:grpSp>
      <xdr:nvGrpSpPr>
        <xdr:cNvPr id="6" name="グループ化 5"/>
        <xdr:cNvGrpSpPr/>
      </xdr:nvGrpSpPr>
      <xdr:grpSpPr>
        <a:xfrm>
          <a:off x="14089461" y="1126824"/>
          <a:ext cx="4250494" cy="1680667"/>
          <a:chOff x="12617416" y="1611609"/>
          <a:chExt cx="4250493" cy="1681494"/>
        </a:xfrm>
      </xdr:grpSpPr>
      <xdr:sp macro="" textlink="">
        <xdr:nvSpPr>
          <xdr:cNvPr id="535" name="正方形/長方形 534"/>
          <xdr:cNvSpPr/>
        </xdr:nvSpPr>
        <xdr:spPr>
          <a:xfrm>
            <a:off x="12633105" y="1611609"/>
            <a:ext cx="1775624"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sp macro="" textlink="">
        <xdr:nvSpPr>
          <xdr:cNvPr id="536" name="正方形/長方形 535"/>
          <xdr:cNvSpPr/>
        </xdr:nvSpPr>
        <xdr:spPr>
          <a:xfrm>
            <a:off x="12617416" y="2875430"/>
            <a:ext cx="910121"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sp macro="" textlink="">
        <xdr:nvSpPr>
          <xdr:cNvPr id="537" name="正方形/長方形 536"/>
          <xdr:cNvSpPr/>
        </xdr:nvSpPr>
        <xdr:spPr>
          <a:xfrm>
            <a:off x="14798490" y="2092036"/>
            <a:ext cx="2069419"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必要保育従事者数</a:t>
            </a:r>
          </a:p>
        </xdr:txBody>
      </xdr:sp>
    </xdr:grpSp>
    <xdr:clientData/>
  </xdr:twoCellAnchor>
  <xdr:twoCellAnchor>
    <xdr:from>
      <xdr:col>15</xdr:col>
      <xdr:colOff>16280</xdr:colOff>
      <xdr:row>42</xdr:row>
      <xdr:rowOff>161055</xdr:rowOff>
    </xdr:from>
    <xdr:to>
      <xdr:col>16</xdr:col>
      <xdr:colOff>289579</xdr:colOff>
      <xdr:row>43</xdr:row>
      <xdr:rowOff>138742</xdr:rowOff>
    </xdr:to>
    <xdr:sp macro="" textlink="">
      <xdr:nvSpPr>
        <xdr:cNvPr id="31" name="正方形/長方形 30"/>
        <xdr:cNvSpPr/>
      </xdr:nvSpPr>
      <xdr:spPr>
        <a:xfrm>
          <a:off x="10269662" y="10044643"/>
          <a:ext cx="956858" cy="213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143655</xdr:colOff>
      <xdr:row>43</xdr:row>
      <xdr:rowOff>17021</xdr:rowOff>
    </xdr:from>
    <xdr:to>
      <xdr:col>14</xdr:col>
      <xdr:colOff>622584</xdr:colOff>
      <xdr:row>44</xdr:row>
      <xdr:rowOff>125289</xdr:rowOff>
    </xdr:to>
    <xdr:sp macro="" textlink="">
      <xdr:nvSpPr>
        <xdr:cNvPr id="49" name="正方形/長方形 48"/>
        <xdr:cNvSpPr/>
      </xdr:nvSpPr>
      <xdr:spPr>
        <a:xfrm>
          <a:off x="7739843" y="10256396"/>
          <a:ext cx="2550616"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20</xdr:col>
      <xdr:colOff>542610</xdr:colOff>
      <xdr:row>39</xdr:row>
      <xdr:rowOff>113077</xdr:rowOff>
    </xdr:from>
    <xdr:to>
      <xdr:col>24</xdr:col>
      <xdr:colOff>314238</xdr:colOff>
      <xdr:row>46</xdr:row>
      <xdr:rowOff>138108</xdr:rowOff>
    </xdr:to>
    <xdr:grpSp>
      <xdr:nvGrpSpPr>
        <xdr:cNvPr id="112" name="グループ化 111"/>
        <xdr:cNvGrpSpPr/>
      </xdr:nvGrpSpPr>
      <xdr:grpSpPr>
        <a:xfrm>
          <a:off x="14379837" y="9568804"/>
          <a:ext cx="2542537" cy="1722213"/>
          <a:chOff x="6582903" y="3881174"/>
          <a:chExt cx="2521378" cy="1727352"/>
        </a:xfrm>
      </xdr:grpSpPr>
      <xdr:sp macro="" textlink="">
        <xdr:nvSpPr>
          <xdr:cNvPr id="114" name="正方形/長方形 113"/>
          <xdr:cNvSpPr/>
        </xdr:nvSpPr>
        <xdr:spPr>
          <a:xfrm>
            <a:off x="6584281" y="3881174"/>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a:t>
            </a:r>
          </a:p>
        </xdr:txBody>
      </xdr:sp>
      <xdr:sp macro="" textlink="">
        <xdr:nvSpPr>
          <xdr:cNvPr id="118" name="正方形/長方形 117"/>
          <xdr:cNvSpPr/>
        </xdr:nvSpPr>
        <xdr:spPr>
          <a:xfrm>
            <a:off x="6582903" y="4243972"/>
            <a:ext cx="2520000" cy="13645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r>
              <a:rPr kumimoji="1" lang="en-US" altLang="ja-JP" sz="1200">
                <a:solidFill>
                  <a:schemeClr val="tx1"/>
                </a:solidFill>
              </a:rPr>
              <a:t>(4~11</a:t>
            </a:r>
            <a:r>
              <a:rPr kumimoji="1" lang="ja-JP" altLang="en-US" sz="1200">
                <a:solidFill>
                  <a:schemeClr val="tx1"/>
                </a:solidFill>
              </a:rPr>
              <a:t>月平均</a:t>
            </a:r>
            <a:r>
              <a:rPr kumimoji="1" lang="en-US" altLang="ja-JP" sz="1200">
                <a:solidFill>
                  <a:schemeClr val="tx1"/>
                </a:solidFill>
              </a:rPr>
              <a:t>3</a:t>
            </a:r>
            <a:r>
              <a:rPr kumimoji="1" lang="ja-JP" altLang="en-US" sz="1200">
                <a:solidFill>
                  <a:schemeClr val="tx1"/>
                </a:solidFill>
              </a:rPr>
              <a:t>名</a:t>
            </a:r>
            <a:r>
              <a:rPr kumimoji="1" lang="en-US" altLang="ja-JP" sz="1200">
                <a:solidFill>
                  <a:schemeClr val="tx1"/>
                </a:solidFill>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rPr>
              <a:t>・障害児受入れ</a:t>
            </a:r>
            <a:r>
              <a:rPr kumimoji="1" lang="en-US" altLang="ja-JP" sz="1200">
                <a:solidFill>
                  <a:schemeClr val="tx1"/>
                </a:solidFill>
                <a:effectLst/>
                <a:latin typeface="+mn-lt"/>
                <a:ea typeface="+mn-ea"/>
                <a:cs typeface="+mn-cs"/>
              </a:rPr>
              <a:t>(4~11</a:t>
            </a:r>
            <a:r>
              <a:rPr kumimoji="1" lang="ja-JP" altLang="ja-JP" sz="1200">
                <a:solidFill>
                  <a:schemeClr val="tx1"/>
                </a:solidFill>
                <a:effectLst/>
                <a:latin typeface="+mn-lt"/>
                <a:ea typeface="+mn-ea"/>
                <a:cs typeface="+mn-cs"/>
              </a:rPr>
              <a:t>月</a:t>
            </a:r>
            <a:r>
              <a:rPr kumimoji="1" lang="ja-JP" altLang="en-US" sz="1200">
                <a:solidFill>
                  <a:schemeClr val="tx1"/>
                </a:solidFill>
                <a:effectLst/>
                <a:latin typeface="+mn-lt"/>
                <a:ea typeface="+mn-ea"/>
                <a:cs typeface="+mn-cs"/>
              </a:rPr>
              <a:t>のべ</a:t>
            </a:r>
            <a:r>
              <a:rPr kumimoji="1" lang="en-US" altLang="ja-JP" sz="1200">
                <a:solidFill>
                  <a:schemeClr val="tx1"/>
                </a:solidFill>
                <a:effectLst/>
                <a:latin typeface="+mn-lt"/>
                <a:ea typeface="+mn-ea"/>
                <a:cs typeface="+mn-cs"/>
              </a:rPr>
              <a:t>1</a:t>
            </a:r>
            <a:r>
              <a:rPr kumimoji="1" lang="ja-JP" altLang="ja-JP" sz="1200">
                <a:solidFill>
                  <a:schemeClr val="tx1"/>
                </a:solidFill>
                <a:effectLst/>
                <a:latin typeface="+mn-lt"/>
                <a:ea typeface="+mn-ea"/>
                <a:cs typeface="+mn-cs"/>
              </a:rPr>
              <a:t>名</a:t>
            </a:r>
            <a:r>
              <a:rPr kumimoji="1" lang="en-US" altLang="ja-JP" sz="1200">
                <a:solidFill>
                  <a:schemeClr val="tx1"/>
                </a:solidFill>
                <a:effectLst/>
                <a:latin typeface="+mn-lt"/>
                <a:ea typeface="+mn-ea"/>
                <a:cs typeface="+mn-cs"/>
              </a:rPr>
              <a:t>)</a:t>
            </a:r>
            <a:endParaRPr kumimoji="1" lang="en-US" altLang="ja-JP" sz="1400">
              <a:solidFill>
                <a:schemeClr val="tx1"/>
              </a:solidFill>
            </a:endParaRPr>
          </a:p>
          <a:p>
            <a:pPr algn="l"/>
            <a:endParaRPr kumimoji="1" lang="ja-JP" altLang="en-US" sz="1400">
              <a:solidFill>
                <a:schemeClr val="tx1"/>
              </a:solidFill>
            </a:endParaRPr>
          </a:p>
        </xdr:txBody>
      </xdr:sp>
    </xdr:grpSp>
    <xdr:clientData/>
  </xdr:twoCellAnchor>
  <xdr:twoCellAnchor>
    <xdr:from>
      <xdr:col>19</xdr:col>
      <xdr:colOff>2018</xdr:colOff>
      <xdr:row>14</xdr:row>
      <xdr:rowOff>244801</xdr:rowOff>
    </xdr:from>
    <xdr:to>
      <xdr:col>22</xdr:col>
      <xdr:colOff>660683</xdr:colOff>
      <xdr:row>22</xdr:row>
      <xdr:rowOff>137559</xdr:rowOff>
    </xdr:to>
    <xdr:grpSp>
      <xdr:nvGrpSpPr>
        <xdr:cNvPr id="44" name="グループ化 43"/>
        <xdr:cNvGrpSpPr/>
      </xdr:nvGrpSpPr>
      <xdr:grpSpPr>
        <a:xfrm>
          <a:off x="13146518" y="3629640"/>
          <a:ext cx="2736847" cy="1841919"/>
          <a:chOff x="9005455" y="3394364"/>
          <a:chExt cx="2740692" cy="1834453"/>
        </a:xfrm>
      </xdr:grpSpPr>
      <xdr:sp macro="" textlink="">
        <xdr:nvSpPr>
          <xdr:cNvPr id="47" name="正方形/長方形 46"/>
          <xdr:cNvSpPr/>
        </xdr:nvSpPr>
        <xdr:spPr>
          <a:xfrm>
            <a:off x="9005455" y="3394364"/>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a:t>
            </a:r>
          </a:p>
        </xdr:txBody>
      </xdr:sp>
      <xdr:sp macro="" textlink="">
        <xdr:nvSpPr>
          <xdr:cNvPr id="48" name="正方形/長方形 47"/>
          <xdr:cNvSpPr/>
        </xdr:nvSpPr>
        <xdr:spPr>
          <a:xfrm>
            <a:off x="9005455" y="4121727"/>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非常勤調理員等</a:t>
            </a:r>
          </a:p>
        </xdr:txBody>
      </xdr:sp>
      <xdr:sp macro="" textlink="">
        <xdr:nvSpPr>
          <xdr:cNvPr id="50" name="正方形/長方形 49"/>
          <xdr:cNvSpPr/>
        </xdr:nvSpPr>
        <xdr:spPr>
          <a:xfrm>
            <a:off x="9005455" y="4849091"/>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非常勤事務職員</a:t>
            </a:r>
          </a:p>
        </xdr:txBody>
      </xdr:sp>
    </xdr:grpSp>
    <xdr:clientData/>
  </xdr:twoCellAnchor>
  <xdr:twoCellAnchor>
    <xdr:from>
      <xdr:col>26</xdr:col>
      <xdr:colOff>467590</xdr:colOff>
      <xdr:row>3</xdr:row>
      <xdr:rowOff>138545</xdr:rowOff>
    </xdr:from>
    <xdr:to>
      <xdr:col>27</xdr:col>
      <xdr:colOff>534824</xdr:colOff>
      <xdr:row>23</xdr:row>
      <xdr:rowOff>69272</xdr:rowOff>
    </xdr:to>
    <xdr:sp macro="" textlink="">
      <xdr:nvSpPr>
        <xdr:cNvPr id="51" name="右中かっこ 50"/>
        <xdr:cNvSpPr/>
      </xdr:nvSpPr>
      <xdr:spPr>
        <a:xfrm>
          <a:off x="17075726" y="865909"/>
          <a:ext cx="759962" cy="4779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588818</xdr:colOff>
      <xdr:row>12</xdr:row>
      <xdr:rowOff>121226</xdr:rowOff>
    </xdr:from>
    <xdr:to>
      <xdr:col>30</xdr:col>
      <xdr:colOff>363682</xdr:colOff>
      <xdr:row>16</xdr:row>
      <xdr:rowOff>114503</xdr:rowOff>
    </xdr:to>
    <xdr:sp macro="" textlink="">
      <xdr:nvSpPr>
        <xdr:cNvPr id="52" name="正方形/長方形 51"/>
        <xdr:cNvSpPr/>
      </xdr:nvSpPr>
      <xdr:spPr>
        <a:xfrm>
          <a:off x="17889682" y="3030681"/>
          <a:ext cx="1853045"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基本分単価に含まれる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職員構成</a:t>
          </a:r>
        </a:p>
      </xdr:txBody>
    </xdr:sp>
    <xdr:clientData/>
  </xdr:twoCellAnchor>
  <xdr:twoCellAnchor>
    <xdr:from>
      <xdr:col>10</xdr:col>
      <xdr:colOff>675409</xdr:colOff>
      <xdr:row>29</xdr:row>
      <xdr:rowOff>-1</xdr:rowOff>
    </xdr:from>
    <xdr:to>
      <xdr:col>15</xdr:col>
      <xdr:colOff>126556</xdr:colOff>
      <xdr:row>30</xdr:row>
      <xdr:rowOff>112598</xdr:rowOff>
    </xdr:to>
    <xdr:sp macro="" textlink="">
      <xdr:nvSpPr>
        <xdr:cNvPr id="55" name="正方形/長方形 54"/>
        <xdr:cNvSpPr/>
      </xdr:nvSpPr>
      <xdr:spPr>
        <a:xfrm>
          <a:off x="6217227" y="7031181"/>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管理者を配置していない場合</a:t>
          </a:r>
          <a:r>
            <a:rPr kumimoji="1" lang="en-US" altLang="ja-JP" sz="1200">
              <a:solidFill>
                <a:schemeClr val="tx1"/>
              </a:solidFill>
            </a:rPr>
            <a:t>(</a:t>
          </a:r>
          <a:r>
            <a:rPr kumimoji="1" lang="ja-JP" altLang="en-US" sz="1200">
              <a:solidFill>
                <a:schemeClr val="tx1"/>
              </a:solidFill>
            </a:rPr>
            <a:t>減算</a:t>
          </a:r>
          <a:r>
            <a:rPr kumimoji="1" lang="en-US" altLang="ja-JP" sz="1200">
              <a:solidFill>
                <a:schemeClr val="tx1"/>
              </a:solidFill>
            </a:rPr>
            <a:t>)</a:t>
          </a:r>
          <a:endParaRPr kumimoji="1" lang="ja-JP" altLang="en-US" sz="1200">
            <a:solidFill>
              <a:schemeClr val="tx1"/>
            </a:solidFill>
          </a:endParaRPr>
        </a:p>
      </xdr:txBody>
    </xdr:sp>
    <xdr:clientData/>
  </xdr:twoCellAnchor>
  <xdr:twoCellAnchor>
    <xdr:from>
      <xdr:col>15</xdr:col>
      <xdr:colOff>126557</xdr:colOff>
      <xdr:row>15</xdr:row>
      <xdr:rowOff>189864</xdr:rowOff>
    </xdr:from>
    <xdr:to>
      <xdr:col>19</xdr:col>
      <xdr:colOff>2</xdr:colOff>
      <xdr:row>29</xdr:row>
      <xdr:rowOff>177525</xdr:rowOff>
    </xdr:to>
    <xdr:cxnSp macro="">
      <xdr:nvCxnSpPr>
        <xdr:cNvPr id="56" name="カギ線コネクタ 55"/>
        <xdr:cNvCxnSpPr>
          <a:stCxn id="47" idx="1"/>
          <a:endCxn id="55" idx="3"/>
        </xdr:cNvCxnSpPr>
      </xdr:nvCxnSpPr>
      <xdr:spPr>
        <a:xfrm rot="10800000" flipV="1">
          <a:off x="9132012" y="3826682"/>
          <a:ext cx="2627035" cy="3382025"/>
        </a:xfrm>
        <a:prstGeom prst="bentConnector3">
          <a:avLst>
            <a:gd name="adj1" fmla="val 60548"/>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675409</xdr:colOff>
      <xdr:row>33</xdr:row>
      <xdr:rowOff>0</xdr:rowOff>
    </xdr:from>
    <xdr:to>
      <xdr:col>15</xdr:col>
      <xdr:colOff>126556</xdr:colOff>
      <xdr:row>34</xdr:row>
      <xdr:rowOff>112598</xdr:rowOff>
    </xdr:to>
    <xdr:sp macro="" textlink="">
      <xdr:nvSpPr>
        <xdr:cNvPr id="42" name="正方形/長方形 41"/>
        <xdr:cNvSpPr/>
      </xdr:nvSpPr>
      <xdr:spPr>
        <a:xfrm>
          <a:off x="6217227" y="8001000"/>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r>
            <a:rPr kumimoji="1" lang="en-US" altLang="ja-JP" sz="1200">
              <a:solidFill>
                <a:schemeClr val="tx1"/>
              </a:solidFill>
            </a:rPr>
            <a:t>A</a:t>
          </a:r>
          <a:r>
            <a:rPr kumimoji="1" lang="ja-JP" altLang="en-US" sz="1200">
              <a:solidFill>
                <a:schemeClr val="tx1"/>
              </a:solidFill>
            </a:rPr>
            <a:t>・</a:t>
          </a:r>
          <a:r>
            <a:rPr kumimoji="1" lang="en-US" altLang="ja-JP" sz="1200">
              <a:solidFill>
                <a:schemeClr val="tx1"/>
              </a:solidFill>
            </a:rPr>
            <a:t>B</a:t>
          </a:r>
          <a:r>
            <a:rPr kumimoji="1" lang="ja-JP" altLang="en-US" sz="1200">
              <a:solidFill>
                <a:schemeClr val="tx1"/>
              </a:solidFill>
            </a:rPr>
            <a:t>）</a:t>
          </a:r>
        </a:p>
      </xdr:txBody>
    </xdr:sp>
    <xdr:clientData/>
  </xdr:twoCellAnchor>
  <xdr:twoCellAnchor>
    <xdr:from>
      <xdr:col>15</xdr:col>
      <xdr:colOff>126557</xdr:colOff>
      <xdr:row>18</xdr:row>
      <xdr:rowOff>189863</xdr:rowOff>
    </xdr:from>
    <xdr:to>
      <xdr:col>19</xdr:col>
      <xdr:colOff>2</xdr:colOff>
      <xdr:row>33</xdr:row>
      <xdr:rowOff>177526</xdr:rowOff>
    </xdr:to>
    <xdr:cxnSp macro="">
      <xdr:nvCxnSpPr>
        <xdr:cNvPr id="53" name="カギ線コネクタ 52"/>
        <xdr:cNvCxnSpPr>
          <a:stCxn id="48" idx="1"/>
          <a:endCxn id="42" idx="3"/>
        </xdr:cNvCxnSpPr>
      </xdr:nvCxnSpPr>
      <xdr:spPr>
        <a:xfrm rot="10800000" flipV="1">
          <a:off x="9132012" y="4554045"/>
          <a:ext cx="2627035" cy="3624481"/>
        </a:xfrm>
        <a:prstGeom prst="bentConnector3">
          <a:avLst>
            <a:gd name="adj1" fmla="val 3945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410689</xdr:colOff>
      <xdr:row>18</xdr:row>
      <xdr:rowOff>45768</xdr:rowOff>
    </xdr:from>
    <xdr:to>
      <xdr:col>26</xdr:col>
      <xdr:colOff>445324</xdr:colOff>
      <xdr:row>19</xdr:row>
      <xdr:rowOff>223460</xdr:rowOff>
    </xdr:to>
    <xdr:sp macro="" textlink="">
      <xdr:nvSpPr>
        <xdr:cNvPr id="54" name="正方形/長方形 53"/>
        <xdr:cNvSpPr/>
      </xdr:nvSpPr>
      <xdr:spPr>
        <a:xfrm>
          <a:off x="16739260" y="4454482"/>
          <a:ext cx="1395350"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（イ）その他</a:t>
          </a:r>
        </a:p>
      </xdr:txBody>
    </xdr:sp>
    <xdr:clientData/>
  </xdr:twoCellAnchor>
  <xdr:twoCellAnchor>
    <xdr:from>
      <xdr:col>5</xdr:col>
      <xdr:colOff>620362</xdr:colOff>
      <xdr:row>5</xdr:row>
      <xdr:rowOff>38782</xdr:rowOff>
    </xdr:from>
    <xdr:to>
      <xdr:col>8</xdr:col>
      <xdr:colOff>17318</xdr:colOff>
      <xdr:row>16</xdr:row>
      <xdr:rowOff>103909</xdr:rowOff>
    </xdr:to>
    <xdr:cxnSp macro="">
      <xdr:nvCxnSpPr>
        <xdr:cNvPr id="58" name="カギ線コネクタ 57"/>
        <xdr:cNvCxnSpPr>
          <a:stCxn id="167" idx="1"/>
          <a:endCxn id="169" idx="0"/>
        </xdr:cNvCxnSpPr>
      </xdr:nvCxnSpPr>
      <xdr:spPr>
        <a:xfrm rot="10800000" flipV="1">
          <a:off x="2698544" y="1251055"/>
          <a:ext cx="1475138" cy="2732127"/>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585107</xdr:colOff>
      <xdr:row>4</xdr:row>
      <xdr:rowOff>122465</xdr:rowOff>
    </xdr:from>
    <xdr:to>
      <xdr:col>3</xdr:col>
      <xdr:colOff>629121</xdr:colOff>
      <xdr:row>6</xdr:row>
      <xdr:rowOff>7324</xdr:rowOff>
    </xdr:to>
    <xdr:sp macro="" textlink="">
      <xdr:nvSpPr>
        <xdr:cNvPr id="59" name="正方形/長方形 58"/>
        <xdr:cNvSpPr/>
      </xdr:nvSpPr>
      <xdr:spPr>
        <a:xfrm>
          <a:off x="585107" y="1102179"/>
          <a:ext cx="2085085"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非常勤保育士の配置</a:t>
          </a:r>
        </a:p>
      </xdr:txBody>
    </xdr:sp>
    <xdr:clientData/>
  </xdr:twoCellAnchor>
  <xdr:twoCellAnchor>
    <xdr:from>
      <xdr:col>2</xdr:col>
      <xdr:colOff>266937</xdr:colOff>
      <xdr:row>6</xdr:row>
      <xdr:rowOff>7323</xdr:rowOff>
    </xdr:from>
    <xdr:to>
      <xdr:col>5</xdr:col>
      <xdr:colOff>612207</xdr:colOff>
      <xdr:row>23</xdr:row>
      <xdr:rowOff>182706</xdr:rowOff>
    </xdr:to>
    <xdr:cxnSp macro="">
      <xdr:nvCxnSpPr>
        <xdr:cNvPr id="60" name="カギ線コネクタ 59"/>
        <xdr:cNvCxnSpPr>
          <a:stCxn id="59" idx="2"/>
          <a:endCxn id="194" idx="0"/>
        </xdr:cNvCxnSpPr>
      </xdr:nvCxnSpPr>
      <xdr:spPr>
        <a:xfrm rot="16200000" flipH="1">
          <a:off x="651237" y="2453308"/>
          <a:ext cx="4339169" cy="2386342"/>
        </a:xfrm>
        <a:prstGeom prst="bentConnector3">
          <a:avLst>
            <a:gd name="adj1" fmla="val 8167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184949</xdr:colOff>
      <xdr:row>25</xdr:row>
      <xdr:rowOff>54087</xdr:rowOff>
    </xdr:from>
    <xdr:to>
      <xdr:col>11</xdr:col>
      <xdr:colOff>149197</xdr:colOff>
      <xdr:row>38</xdr:row>
      <xdr:rowOff>178168</xdr:rowOff>
    </xdr:to>
    <xdr:cxnSp macro="">
      <xdr:nvCxnSpPr>
        <xdr:cNvPr id="61" name="カギ線コネクタ 40"/>
        <xdr:cNvCxnSpPr>
          <a:stCxn id="194" idx="3"/>
          <a:endCxn id="345" idx="1"/>
        </xdr:cNvCxnSpPr>
      </xdr:nvCxnSpPr>
      <xdr:spPr>
        <a:xfrm>
          <a:off x="5627806" y="6177301"/>
          <a:ext cx="2005320" cy="330815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156882</xdr:colOff>
      <xdr:row>34</xdr:row>
      <xdr:rowOff>11206</xdr:rowOff>
    </xdr:from>
    <xdr:to>
      <xdr:col>19</xdr:col>
      <xdr:colOff>0</xdr:colOff>
      <xdr:row>35</xdr:row>
      <xdr:rowOff>56029</xdr:rowOff>
    </xdr:to>
    <xdr:sp macro="" textlink="">
      <xdr:nvSpPr>
        <xdr:cNvPr id="66" name="正方形/長方形 65"/>
        <xdr:cNvSpPr/>
      </xdr:nvSpPr>
      <xdr:spPr>
        <a:xfrm>
          <a:off x="10410264" y="8012206"/>
          <a:ext cx="2566148" cy="280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3"/>
  <sheetViews>
    <sheetView view="pageBreakPreview" zoomScale="106" zoomScaleNormal="100" zoomScaleSheetLayoutView="106" workbookViewId="0">
      <selection activeCell="F9" sqref="F9"/>
    </sheetView>
  </sheetViews>
  <sheetFormatPr defaultRowHeight="18.75"/>
  <cols>
    <col min="1" max="1" width="16.875" customWidth="1"/>
    <col min="2" max="10" width="7" customWidth="1"/>
    <col min="11" max="11" width="9" style="4"/>
    <col min="13" max="13" width="15" customWidth="1"/>
    <col min="14" max="15" width="4.75" customWidth="1"/>
  </cols>
  <sheetData>
    <row r="1" spans="1:14" ht="19.5">
      <c r="A1" s="208" t="str">
        <f>"教育・保育給付に係る加算等確認表（"&amp;A9&amp;")"</f>
        <v>教育・保育給付に係る加算等確認表（小規模保育事業A型)</v>
      </c>
      <c r="B1" s="208"/>
      <c r="C1" s="208"/>
      <c r="D1" s="208"/>
      <c r="E1" s="208"/>
      <c r="F1" s="208"/>
      <c r="G1" s="208"/>
      <c r="H1" s="208"/>
      <c r="I1" s="208"/>
      <c r="J1" s="10"/>
    </row>
    <row r="2" spans="1:14">
      <c r="J2" s="167">
        <f>改修履歴!A1</f>
        <v>0.99</v>
      </c>
      <c r="M2" s="59" t="s">
        <v>133</v>
      </c>
      <c r="N2" s="45">
        <f>COUNTIF(J4:J8,"〇")</f>
        <v>3</v>
      </c>
    </row>
    <row r="3" spans="1:14" ht="19.5" thickBot="1">
      <c r="A3" t="s">
        <v>162</v>
      </c>
      <c r="E3" s="216" t="s">
        <v>117</v>
      </c>
      <c r="F3" s="216"/>
      <c r="G3" s="216"/>
      <c r="H3" s="216"/>
      <c r="I3" s="216"/>
      <c r="J3" s="216"/>
      <c r="M3" s="60"/>
      <c r="N3" s="45"/>
    </row>
    <row r="4" spans="1:14" ht="19.5" thickBot="1">
      <c r="A4" s="209">
        <v>45017</v>
      </c>
      <c r="B4" s="210"/>
      <c r="C4" t="s">
        <v>18</v>
      </c>
      <c r="D4" s="18"/>
      <c r="E4" s="217" t="s">
        <v>20</v>
      </c>
      <c r="F4" s="217"/>
      <c r="G4" s="218"/>
      <c r="H4" s="218"/>
      <c r="I4" s="218"/>
      <c r="J4" s="17" t="s">
        <v>54</v>
      </c>
      <c r="M4" s="18" t="s">
        <v>84</v>
      </c>
      <c r="N4" s="45">
        <f>IF(N2&gt;1,1,0)</f>
        <v>1</v>
      </c>
    </row>
    <row r="5" spans="1:14" ht="19.5" thickBot="1">
      <c r="D5" s="18"/>
      <c r="E5" s="217" t="s">
        <v>22</v>
      </c>
      <c r="F5" s="217"/>
      <c r="G5" s="218"/>
      <c r="H5" s="218"/>
      <c r="I5" s="218"/>
      <c r="J5" s="17"/>
    </row>
    <row r="6" spans="1:14" ht="19.5" thickBot="1">
      <c r="A6" s="3" t="s">
        <v>23</v>
      </c>
      <c r="D6" s="18"/>
      <c r="E6" s="217" t="s">
        <v>21</v>
      </c>
      <c r="F6" s="217"/>
      <c r="G6" s="218"/>
      <c r="H6" s="218"/>
      <c r="I6" s="218"/>
      <c r="J6" s="17"/>
    </row>
    <row r="7" spans="1:14" ht="19.5" thickBot="1">
      <c r="A7" s="213" t="s">
        <v>250</v>
      </c>
      <c r="B7" s="214"/>
      <c r="C7" s="215"/>
      <c r="D7" s="18"/>
      <c r="E7" s="217" t="s">
        <v>131</v>
      </c>
      <c r="F7" s="217"/>
      <c r="G7" s="218"/>
      <c r="H7" s="218"/>
      <c r="I7" s="218"/>
      <c r="J7" s="17" t="s">
        <v>54</v>
      </c>
    </row>
    <row r="8" spans="1:14" ht="19.5" thickBot="1">
      <c r="A8" s="116" t="s">
        <v>114</v>
      </c>
      <c r="B8" s="2"/>
      <c r="D8" s="18"/>
      <c r="E8" s="217" t="s">
        <v>132</v>
      </c>
      <c r="F8" s="217"/>
      <c r="G8" s="218"/>
      <c r="H8" s="218"/>
      <c r="I8" s="218"/>
      <c r="J8" s="17" t="s">
        <v>54</v>
      </c>
      <c r="K8" s="4" t="s">
        <v>160</v>
      </c>
    </row>
    <row r="9" spans="1:14" ht="19.5" thickBot="1">
      <c r="A9" s="213" t="s">
        <v>198</v>
      </c>
      <c r="B9" s="214"/>
      <c r="C9" s="215"/>
      <c r="D9" s="19"/>
    </row>
    <row r="10" spans="1:14">
      <c r="A10" s="115"/>
      <c r="B10" s="115"/>
      <c r="D10" s="19"/>
    </row>
    <row r="11" spans="1:14" ht="19.5" thickBot="1">
      <c r="A11" t="s">
        <v>19</v>
      </c>
      <c r="D11" s="19"/>
    </row>
    <row r="12" spans="1:14" ht="19.5" thickBot="1">
      <c r="A12" s="211">
        <v>160</v>
      </c>
      <c r="B12" s="212"/>
      <c r="C12" t="s">
        <v>17</v>
      </c>
      <c r="D12" s="19"/>
    </row>
    <row r="13" spans="1:14">
      <c r="D13" s="19"/>
    </row>
    <row r="15" spans="1:14" ht="19.5" thickBot="1">
      <c r="A15" s="171" t="s">
        <v>119</v>
      </c>
    </row>
    <row r="16" spans="1:14">
      <c r="A16" s="1"/>
      <c r="B16" s="1" t="s">
        <v>0</v>
      </c>
      <c r="C16" s="1" t="s">
        <v>1</v>
      </c>
      <c r="D16" s="1" t="s">
        <v>2</v>
      </c>
      <c r="E16" s="20" t="s">
        <v>3</v>
      </c>
      <c r="F16" s="4"/>
      <c r="G16" s="4"/>
      <c r="H16" s="4"/>
      <c r="I16" s="4"/>
      <c r="K16"/>
    </row>
    <row r="17" spans="1:11" ht="19.5" thickBot="1">
      <c r="A17" s="1" t="s">
        <v>118</v>
      </c>
      <c r="B17" s="12">
        <v>3</v>
      </c>
      <c r="C17" s="12">
        <v>8</v>
      </c>
      <c r="D17" s="12">
        <v>8</v>
      </c>
      <c r="E17" s="164">
        <f>SUM(B17:D17)</f>
        <v>19</v>
      </c>
      <c r="F17" s="4"/>
      <c r="G17" s="4"/>
      <c r="H17" s="4"/>
      <c r="I17" s="4"/>
      <c r="K17"/>
    </row>
    <row r="20" spans="1:11">
      <c r="A20" t="s">
        <v>190</v>
      </c>
    </row>
    <row r="21" spans="1:11">
      <c r="A21" s="159"/>
      <c r="B21" s="1" t="s">
        <v>179</v>
      </c>
      <c r="C21" s="1" t="s">
        <v>180</v>
      </c>
      <c r="D21" s="1" t="s">
        <v>181</v>
      </c>
      <c r="E21" s="1" t="s">
        <v>182</v>
      </c>
      <c r="F21" s="1" t="s">
        <v>183</v>
      </c>
      <c r="G21" s="1" t="s">
        <v>184</v>
      </c>
      <c r="H21" s="1" t="s">
        <v>185</v>
      </c>
      <c r="I21" s="1" t="s">
        <v>186</v>
      </c>
      <c r="J21" s="1" t="s">
        <v>189</v>
      </c>
    </row>
    <row r="22" spans="1:11">
      <c r="A22" s="1" t="s">
        <v>187</v>
      </c>
      <c r="B22" s="12">
        <v>2</v>
      </c>
      <c r="C22" s="12">
        <v>2</v>
      </c>
      <c r="D22" s="12">
        <v>2</v>
      </c>
      <c r="E22" s="12">
        <v>2</v>
      </c>
      <c r="F22" s="12">
        <v>3</v>
      </c>
      <c r="G22" s="12">
        <v>3</v>
      </c>
      <c r="H22" s="12">
        <v>3</v>
      </c>
      <c r="I22" s="12">
        <v>3</v>
      </c>
      <c r="J22" s="163">
        <f>SUM(B22:I22)/8</f>
        <v>2.5</v>
      </c>
    </row>
    <row r="23" spans="1:11">
      <c r="A23" s="1" t="s">
        <v>188</v>
      </c>
      <c r="B23" s="12">
        <v>2</v>
      </c>
      <c r="C23" s="12">
        <v>2</v>
      </c>
      <c r="D23" s="12">
        <v>2</v>
      </c>
      <c r="E23" s="12">
        <v>2</v>
      </c>
      <c r="F23" s="12">
        <v>2</v>
      </c>
      <c r="G23" s="12">
        <v>2</v>
      </c>
      <c r="H23" s="12">
        <v>2</v>
      </c>
      <c r="I23" s="12">
        <v>2</v>
      </c>
      <c r="J23" s="163">
        <f>SUM(B23:I23)/8</f>
        <v>2</v>
      </c>
    </row>
  </sheetData>
  <mergeCells count="11">
    <mergeCell ref="A1:I1"/>
    <mergeCell ref="A4:B4"/>
    <mergeCell ref="A12:B12"/>
    <mergeCell ref="A7:C7"/>
    <mergeCell ref="E3:J3"/>
    <mergeCell ref="E4:I4"/>
    <mergeCell ref="E5:I5"/>
    <mergeCell ref="E6:I6"/>
    <mergeCell ref="E7:I7"/>
    <mergeCell ref="E8:I8"/>
    <mergeCell ref="A9:C9"/>
  </mergeCells>
  <phoneticPr fontId="1"/>
  <dataValidations count="2">
    <dataValidation type="list" allowBlank="1" showInputMessage="1" showErrorMessage="1" sqref="J4:J8">
      <formula1>"〇"</formula1>
    </dataValidation>
    <dataValidation type="list" allowBlank="1" showInputMessage="1" showErrorMessage="1" sqref="A9:C9">
      <formula1>"小規模保育事業A型,事業所内保育事業（小規模A型）"</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tabSelected="1" view="pageBreakPreview" zoomScaleNormal="100" zoomScaleSheetLayoutView="100" workbookViewId="0">
      <selection activeCell="I20" sqref="I20"/>
    </sheetView>
  </sheetViews>
  <sheetFormatPr defaultRowHeight="18.75"/>
  <cols>
    <col min="1" max="1" width="3.875" customWidth="1"/>
    <col min="2" max="2" width="5" customWidth="1"/>
    <col min="3" max="3" width="22.125" customWidth="1"/>
    <col min="4" max="4" width="9.875" customWidth="1"/>
    <col min="8" max="8" width="12.625" customWidth="1"/>
    <col min="9" max="9" width="2.125" customWidth="1"/>
    <col min="10" max="10" width="8.375" customWidth="1"/>
    <col min="11" max="16" width="3.5" customWidth="1"/>
    <col min="17" max="17" width="5" customWidth="1"/>
    <col min="18" max="18" width="7.5" customWidth="1"/>
  </cols>
  <sheetData>
    <row r="1" spans="1:18" ht="24">
      <c r="A1" s="221" t="str">
        <f>①基本情報!A1</f>
        <v>教育・保育給付に係る加算等確認表（小規模保育事業A型)</v>
      </c>
      <c r="B1" s="221"/>
      <c r="C1" s="221"/>
      <c r="D1" s="221"/>
      <c r="E1" s="221"/>
      <c r="F1" s="221"/>
      <c r="G1" s="221"/>
      <c r="H1" s="8"/>
    </row>
    <row r="2" spans="1:18" ht="9" customHeight="1">
      <c r="A2" s="7"/>
      <c r="B2" s="8"/>
      <c r="C2" s="8"/>
      <c r="D2" s="8"/>
      <c r="E2" s="8"/>
      <c r="F2" s="8"/>
      <c r="G2" s="8"/>
      <c r="H2" s="168">
        <f>改修履歴!A1</f>
        <v>0.99</v>
      </c>
    </row>
    <row r="3" spans="1:18" ht="19.5" thickBot="1">
      <c r="A3" s="3" t="s">
        <v>23</v>
      </c>
      <c r="G3" s="222" t="s">
        <v>162</v>
      </c>
      <c r="H3" s="222"/>
    </row>
    <row r="4" spans="1:18" ht="19.5" thickBot="1">
      <c r="A4" s="223" t="str">
        <f>①基本情報!A7</f>
        <v>記載例小規模保育園</v>
      </c>
      <c r="B4" s="224"/>
      <c r="C4" s="225"/>
      <c r="D4" s="103"/>
      <c r="G4" s="219">
        <f>①基本情報!A4</f>
        <v>45017</v>
      </c>
      <c r="H4" s="220"/>
    </row>
    <row r="5" spans="1:18" ht="8.25" customHeight="1"/>
    <row r="6" spans="1:18">
      <c r="G6" s="9" t="s">
        <v>16</v>
      </c>
      <c r="H6" s="16">
        <v>45017</v>
      </c>
    </row>
    <row r="7" spans="1:18" ht="26.25" thickBot="1">
      <c r="A7" s="5" t="s">
        <v>9</v>
      </c>
      <c r="B7" s="125" t="s">
        <v>15</v>
      </c>
      <c r="C7" s="1" t="s">
        <v>10</v>
      </c>
      <c r="D7" s="125" t="s">
        <v>11</v>
      </c>
      <c r="E7" s="1" t="s">
        <v>12</v>
      </c>
      <c r="F7" s="1" t="s">
        <v>13</v>
      </c>
      <c r="G7" s="120" t="s">
        <v>124</v>
      </c>
      <c r="H7" s="1" t="s">
        <v>14</v>
      </c>
    </row>
    <row r="8" spans="1:18" ht="12" customHeight="1" thickBot="1">
      <c r="A8" s="5">
        <v>1</v>
      </c>
      <c r="B8" s="11">
        <f>IF(D8="","",(DATEDIF(D8,$H$6,"Y")))</f>
        <v>0</v>
      </c>
      <c r="C8" s="13" t="s">
        <v>221</v>
      </c>
      <c r="D8" s="14">
        <v>44717</v>
      </c>
      <c r="E8" s="13" t="s">
        <v>93</v>
      </c>
      <c r="F8" s="13" t="s">
        <v>41</v>
      </c>
      <c r="G8" s="126"/>
      <c r="H8" s="15"/>
      <c r="J8" s="24"/>
      <c r="K8" s="24">
        <v>0</v>
      </c>
      <c r="L8" s="24">
        <v>1</v>
      </c>
      <c r="M8" s="24">
        <v>2</v>
      </c>
      <c r="N8" s="24">
        <v>3</v>
      </c>
      <c r="O8" s="24">
        <v>4</v>
      </c>
      <c r="P8" s="25">
        <v>5</v>
      </c>
      <c r="Q8" s="26" t="s">
        <v>3</v>
      </c>
      <c r="R8" s="37"/>
    </row>
    <row r="9" spans="1:18" ht="12" customHeight="1">
      <c r="A9" s="5">
        <v>2</v>
      </c>
      <c r="B9" s="11">
        <f t="shared" ref="B9:B47" si="0">IF(D9="","",(DATEDIF(D9,$H$6,"Y")))</f>
        <v>0</v>
      </c>
      <c r="C9" s="13" t="s">
        <v>222</v>
      </c>
      <c r="D9" s="14">
        <v>44718</v>
      </c>
      <c r="E9" s="13" t="s">
        <v>93</v>
      </c>
      <c r="F9" s="13" t="s">
        <v>41</v>
      </c>
      <c r="G9" s="126"/>
      <c r="H9" s="15"/>
      <c r="J9" s="24" t="s">
        <v>94</v>
      </c>
      <c r="K9" s="27"/>
      <c r="L9" s="27"/>
      <c r="M9" s="27">
        <f>COUNTIFS($B$8:$B$47,M$8,$E$8:$E$47,$J9)</f>
        <v>0</v>
      </c>
      <c r="N9" s="30">
        <f>COUNTIFS($B$8:$B$47,N$8,$E$8:$E$47,$J9)</f>
        <v>0</v>
      </c>
      <c r="O9" s="30">
        <f>COUNTIFS($B$8:$B$47,O$8,$E$8:$E$47,$J9)</f>
        <v>0</v>
      </c>
      <c r="P9" s="30">
        <f>COUNTIFS($B$8:$B$47,P$8,$E$8:$E$47,$J9)</f>
        <v>0</v>
      </c>
      <c r="Q9" s="28">
        <f>SUM(K9:P9)</f>
        <v>0</v>
      </c>
      <c r="R9" s="226">
        <f>(SUM(Q9:Q10)/SUM(①基本情報!E17))</f>
        <v>0.89473684210526316</v>
      </c>
    </row>
    <row r="10" spans="1:18" ht="12" customHeight="1" thickBot="1">
      <c r="A10" s="5">
        <v>3</v>
      </c>
      <c r="B10" s="11">
        <f t="shared" si="0"/>
        <v>1</v>
      </c>
      <c r="C10" s="13" t="s">
        <v>222</v>
      </c>
      <c r="D10" s="14">
        <v>44446</v>
      </c>
      <c r="E10" s="13" t="s">
        <v>93</v>
      </c>
      <c r="F10" s="13" t="s">
        <v>41</v>
      </c>
      <c r="G10" s="126"/>
      <c r="H10" s="15"/>
      <c r="J10" s="29" t="s">
        <v>95</v>
      </c>
      <c r="K10" s="27">
        <f>COUNTIFS($B$8:$B$47,K$8,$E$8:$E$47,$J10)</f>
        <v>2</v>
      </c>
      <c r="L10" s="27">
        <f>COUNTIFS($B$8:$B$47,L$8,$E$8:$E$47,$J10)</f>
        <v>6</v>
      </c>
      <c r="M10" s="27">
        <f>COUNTIFS($B$8:$B$47,M$8,$E$8:$E$47,$J10)</f>
        <v>9</v>
      </c>
      <c r="N10" s="30"/>
      <c r="O10" s="30"/>
      <c r="P10" s="31"/>
      <c r="Q10" s="32">
        <f t="shared" ref="Q10:Q11" si="1">SUM(K10:P10)</f>
        <v>17</v>
      </c>
      <c r="R10" s="227"/>
    </row>
    <row r="11" spans="1:18" ht="12" customHeight="1" thickBot="1">
      <c r="A11" s="5">
        <v>4</v>
      </c>
      <c r="B11" s="11">
        <f t="shared" si="0"/>
        <v>1</v>
      </c>
      <c r="C11" s="13" t="s">
        <v>221</v>
      </c>
      <c r="D11" s="14">
        <v>44447</v>
      </c>
      <c r="E11" s="13" t="s">
        <v>93</v>
      </c>
      <c r="F11" s="13" t="s">
        <v>41</v>
      </c>
      <c r="G11" s="126"/>
      <c r="H11" s="15"/>
      <c r="J11" s="33" t="s">
        <v>3</v>
      </c>
      <c r="K11" s="34">
        <f t="shared" ref="K11:P11" si="2">SUM(K9:K10)</f>
        <v>2</v>
      </c>
      <c r="L11" s="34">
        <f t="shared" si="2"/>
        <v>6</v>
      </c>
      <c r="M11" s="34">
        <f t="shared" si="2"/>
        <v>9</v>
      </c>
      <c r="N11" s="34">
        <f t="shared" si="2"/>
        <v>0</v>
      </c>
      <c r="O11" s="34">
        <f t="shared" si="2"/>
        <v>0</v>
      </c>
      <c r="P11" s="35">
        <f t="shared" si="2"/>
        <v>0</v>
      </c>
      <c r="Q11" s="36">
        <f t="shared" si="1"/>
        <v>17</v>
      </c>
      <c r="R11" s="37"/>
    </row>
    <row r="12" spans="1:18" ht="12" customHeight="1">
      <c r="A12" s="5">
        <v>5</v>
      </c>
      <c r="B12" s="11">
        <f t="shared" si="0"/>
        <v>1</v>
      </c>
      <c r="C12" s="13" t="s">
        <v>221</v>
      </c>
      <c r="D12" s="14">
        <v>44448</v>
      </c>
      <c r="E12" s="13" t="s">
        <v>93</v>
      </c>
      <c r="F12" s="13" t="s">
        <v>41</v>
      </c>
      <c r="G12" s="126"/>
      <c r="H12" s="15"/>
    </row>
    <row r="13" spans="1:18" ht="12" customHeight="1" thickBot="1">
      <c r="A13" s="5">
        <v>6</v>
      </c>
      <c r="B13" s="11">
        <f t="shared" si="0"/>
        <v>1</v>
      </c>
      <c r="C13" s="13" t="s">
        <v>221</v>
      </c>
      <c r="D13" s="14">
        <v>44449</v>
      </c>
      <c r="E13" s="13" t="s">
        <v>93</v>
      </c>
      <c r="F13" s="13" t="s">
        <v>41</v>
      </c>
      <c r="G13" s="126"/>
      <c r="H13" s="15"/>
      <c r="J13" s="129" t="s">
        <v>150</v>
      </c>
    </row>
    <row r="14" spans="1:18" ht="12" customHeight="1" thickBot="1">
      <c r="A14" s="5">
        <v>7</v>
      </c>
      <c r="B14" s="11">
        <f t="shared" si="0"/>
        <v>1</v>
      </c>
      <c r="C14" s="13" t="s">
        <v>221</v>
      </c>
      <c r="D14" s="14">
        <v>44450</v>
      </c>
      <c r="E14" s="13" t="s">
        <v>93</v>
      </c>
      <c r="F14" s="13" t="s">
        <v>41</v>
      </c>
      <c r="G14" s="126" t="s">
        <v>224</v>
      </c>
      <c r="H14" s="15"/>
      <c r="J14" s="24"/>
      <c r="K14" s="24">
        <v>0</v>
      </c>
      <c r="L14" s="24">
        <v>1</v>
      </c>
      <c r="M14" s="24">
        <v>2</v>
      </c>
      <c r="N14" s="24">
        <v>3</v>
      </c>
      <c r="O14" s="24">
        <v>4</v>
      </c>
      <c r="P14" s="25">
        <v>5</v>
      </c>
      <c r="Q14" s="26" t="s">
        <v>3</v>
      </c>
    </row>
    <row r="15" spans="1:18" ht="12" customHeight="1" thickBot="1">
      <c r="A15" s="5">
        <v>8</v>
      </c>
      <c r="B15" s="11">
        <f t="shared" si="0"/>
        <v>1</v>
      </c>
      <c r="C15" s="13" t="s">
        <v>221</v>
      </c>
      <c r="D15" s="14">
        <v>44451</v>
      </c>
      <c r="E15" s="13" t="s">
        <v>93</v>
      </c>
      <c r="F15" s="13" t="s">
        <v>223</v>
      </c>
      <c r="G15" s="126"/>
      <c r="H15" s="15"/>
      <c r="J15" s="33" t="s">
        <v>3</v>
      </c>
      <c r="K15" s="34">
        <f>COUNTIFS($B$8:$B$47,K14,$G$8:$G$47,"加算対象者")</f>
        <v>0</v>
      </c>
      <c r="L15" s="34">
        <f t="shared" ref="L15:P15" si="3">COUNTIFS($B$8:$B$47,L14,$G$8:$G$47,"加算対象者")</f>
        <v>1</v>
      </c>
      <c r="M15" s="34">
        <f t="shared" si="3"/>
        <v>1</v>
      </c>
      <c r="N15" s="34">
        <f t="shared" si="3"/>
        <v>0</v>
      </c>
      <c r="O15" s="34">
        <f t="shared" si="3"/>
        <v>0</v>
      </c>
      <c r="P15" s="35">
        <f t="shared" si="3"/>
        <v>0</v>
      </c>
      <c r="Q15" s="36">
        <f t="shared" ref="Q15" si="4">SUM(K15:P15)</f>
        <v>2</v>
      </c>
    </row>
    <row r="16" spans="1:18" ht="12" customHeight="1">
      <c r="A16" s="5">
        <v>9</v>
      </c>
      <c r="B16" s="11">
        <f t="shared" si="0"/>
        <v>2</v>
      </c>
      <c r="C16" s="13" t="s">
        <v>221</v>
      </c>
      <c r="D16" s="14">
        <v>44025</v>
      </c>
      <c r="E16" s="13" t="s">
        <v>93</v>
      </c>
      <c r="F16" s="13" t="s">
        <v>41</v>
      </c>
      <c r="G16" s="126"/>
      <c r="H16" s="15"/>
    </row>
    <row r="17" spans="1:17" ht="12" customHeight="1" thickBot="1">
      <c r="A17" s="5">
        <v>10</v>
      </c>
      <c r="B17" s="11">
        <f t="shared" si="0"/>
        <v>2</v>
      </c>
      <c r="C17" s="13" t="s">
        <v>221</v>
      </c>
      <c r="D17" s="14">
        <v>44026</v>
      </c>
      <c r="E17" s="13" t="s">
        <v>93</v>
      </c>
      <c r="F17" s="13" t="s">
        <v>41</v>
      </c>
      <c r="G17" s="126"/>
      <c r="H17" s="15"/>
      <c r="J17" s="129" t="s">
        <v>149</v>
      </c>
    </row>
    <row r="18" spans="1:17" ht="12" customHeight="1" thickBot="1">
      <c r="A18" s="5">
        <v>11</v>
      </c>
      <c r="B18" s="11">
        <f t="shared" si="0"/>
        <v>2</v>
      </c>
      <c r="C18" s="13" t="s">
        <v>221</v>
      </c>
      <c r="D18" s="14">
        <v>44027</v>
      </c>
      <c r="E18" s="13" t="s">
        <v>93</v>
      </c>
      <c r="F18" s="13" t="s">
        <v>41</v>
      </c>
      <c r="G18" s="126"/>
      <c r="H18" s="15"/>
      <c r="J18" s="24"/>
      <c r="K18" s="24">
        <v>0</v>
      </c>
      <c r="L18" s="24">
        <v>1</v>
      </c>
      <c r="M18" s="24">
        <v>2</v>
      </c>
      <c r="N18" s="24">
        <v>3</v>
      </c>
      <c r="O18" s="24">
        <v>4</v>
      </c>
      <c r="P18" s="25">
        <v>5</v>
      </c>
      <c r="Q18" s="26" t="s">
        <v>3</v>
      </c>
    </row>
    <row r="19" spans="1:17" ht="12" customHeight="1" thickBot="1">
      <c r="A19" s="5">
        <v>12</v>
      </c>
      <c r="B19" s="11">
        <f t="shared" si="0"/>
        <v>2</v>
      </c>
      <c r="C19" s="13" t="s">
        <v>221</v>
      </c>
      <c r="D19" s="14">
        <v>44028</v>
      </c>
      <c r="E19" s="13" t="s">
        <v>93</v>
      </c>
      <c r="F19" s="13" t="s">
        <v>41</v>
      </c>
      <c r="G19" s="126"/>
      <c r="H19" s="15"/>
      <c r="J19" s="33" t="s">
        <v>3</v>
      </c>
      <c r="K19" s="34">
        <f>K11-K15</f>
        <v>2</v>
      </c>
      <c r="L19" s="34">
        <f t="shared" ref="L19:P19" si="5">L11-L15</f>
        <v>5</v>
      </c>
      <c r="M19" s="34">
        <f t="shared" si="5"/>
        <v>8</v>
      </c>
      <c r="N19" s="34">
        <f t="shared" si="5"/>
        <v>0</v>
      </c>
      <c r="O19" s="34">
        <f t="shared" si="5"/>
        <v>0</v>
      </c>
      <c r="P19" s="35">
        <f t="shared" si="5"/>
        <v>0</v>
      </c>
      <c r="Q19" s="36">
        <f t="shared" ref="Q19" si="6">SUM(K19:P19)</f>
        <v>15</v>
      </c>
    </row>
    <row r="20" spans="1:17" ht="12" customHeight="1">
      <c r="A20" s="5">
        <v>13</v>
      </c>
      <c r="B20" s="11">
        <f t="shared" si="0"/>
        <v>2</v>
      </c>
      <c r="C20" s="13" t="s">
        <v>221</v>
      </c>
      <c r="D20" s="14">
        <v>44029</v>
      </c>
      <c r="E20" s="13" t="s">
        <v>93</v>
      </c>
      <c r="F20" s="13" t="s">
        <v>41</v>
      </c>
      <c r="G20" s="126"/>
      <c r="H20" s="15"/>
    </row>
    <row r="21" spans="1:17" ht="12" customHeight="1">
      <c r="A21" s="5">
        <v>14</v>
      </c>
      <c r="B21" s="11">
        <f t="shared" si="0"/>
        <v>2</v>
      </c>
      <c r="C21" s="13" t="s">
        <v>221</v>
      </c>
      <c r="D21" s="14">
        <v>44030</v>
      </c>
      <c r="E21" s="13" t="s">
        <v>93</v>
      </c>
      <c r="F21" s="13" t="s">
        <v>41</v>
      </c>
      <c r="G21" s="126"/>
      <c r="H21" s="15"/>
    </row>
    <row r="22" spans="1:17" ht="12" customHeight="1">
      <c r="A22" s="5">
        <v>15</v>
      </c>
      <c r="B22" s="11">
        <f t="shared" si="0"/>
        <v>2</v>
      </c>
      <c r="C22" s="13" t="s">
        <v>221</v>
      </c>
      <c r="D22" s="14">
        <v>44031</v>
      </c>
      <c r="E22" s="13" t="s">
        <v>93</v>
      </c>
      <c r="F22" s="13" t="s">
        <v>41</v>
      </c>
      <c r="G22" s="126" t="s">
        <v>224</v>
      </c>
      <c r="H22" s="15"/>
    </row>
    <row r="23" spans="1:17" ht="12" customHeight="1">
      <c r="A23" s="5">
        <v>16</v>
      </c>
      <c r="B23" s="11">
        <f t="shared" si="0"/>
        <v>2</v>
      </c>
      <c r="C23" s="13" t="s">
        <v>221</v>
      </c>
      <c r="D23" s="14">
        <v>44032</v>
      </c>
      <c r="E23" s="13" t="s">
        <v>93</v>
      </c>
      <c r="F23" s="13" t="s">
        <v>223</v>
      </c>
      <c r="G23" s="126"/>
      <c r="H23" s="15"/>
    </row>
    <row r="24" spans="1:17" ht="12" customHeight="1">
      <c r="A24" s="5">
        <v>17</v>
      </c>
      <c r="B24" s="11">
        <f t="shared" si="0"/>
        <v>2</v>
      </c>
      <c r="C24" s="13" t="s">
        <v>221</v>
      </c>
      <c r="D24" s="14">
        <v>44033</v>
      </c>
      <c r="E24" s="13" t="s">
        <v>93</v>
      </c>
      <c r="F24" s="13" t="s">
        <v>223</v>
      </c>
      <c r="G24" s="126"/>
      <c r="H24" s="15"/>
    </row>
    <row r="25" spans="1:17" ht="12" customHeight="1">
      <c r="A25" s="5">
        <v>18</v>
      </c>
      <c r="B25" s="11" t="str">
        <f t="shared" si="0"/>
        <v/>
      </c>
      <c r="C25" s="13"/>
      <c r="D25" s="14"/>
      <c r="E25" s="13"/>
      <c r="F25" s="13"/>
      <c r="G25" s="126"/>
      <c r="H25" s="15"/>
    </row>
    <row r="26" spans="1:17" ht="12" customHeight="1">
      <c r="A26" s="5">
        <v>19</v>
      </c>
      <c r="B26" s="11" t="str">
        <f t="shared" si="0"/>
        <v/>
      </c>
      <c r="C26" s="13"/>
      <c r="D26" s="14"/>
      <c r="E26" s="13"/>
      <c r="F26" s="13"/>
      <c r="G26" s="126"/>
      <c r="H26" s="15"/>
    </row>
    <row r="27" spans="1:17" ht="12" customHeight="1">
      <c r="A27" s="5">
        <v>20</v>
      </c>
      <c r="B27" s="11" t="str">
        <f t="shared" si="0"/>
        <v/>
      </c>
      <c r="C27" s="13"/>
      <c r="D27" s="14"/>
      <c r="E27" s="13"/>
      <c r="F27" s="13"/>
      <c r="G27" s="126"/>
      <c r="H27" s="15"/>
    </row>
    <row r="28" spans="1:17" ht="12" customHeight="1">
      <c r="A28" s="5">
        <v>21</v>
      </c>
      <c r="B28" s="11" t="str">
        <f t="shared" si="0"/>
        <v/>
      </c>
      <c r="C28" s="13"/>
      <c r="D28" s="14"/>
      <c r="E28" s="13"/>
      <c r="F28" s="13"/>
      <c r="G28" s="126"/>
      <c r="H28" s="15"/>
    </row>
    <row r="29" spans="1:17" ht="12" customHeight="1">
      <c r="A29" s="5">
        <v>22</v>
      </c>
      <c r="B29" s="11" t="str">
        <f t="shared" si="0"/>
        <v/>
      </c>
      <c r="C29" s="13"/>
      <c r="D29" s="14"/>
      <c r="E29" s="13"/>
      <c r="F29" s="13"/>
      <c r="G29" s="126"/>
      <c r="H29" s="15"/>
    </row>
    <row r="30" spans="1:17" ht="12" customHeight="1">
      <c r="A30" s="5">
        <v>23</v>
      </c>
      <c r="B30" s="11" t="str">
        <f t="shared" si="0"/>
        <v/>
      </c>
      <c r="C30" s="13"/>
      <c r="D30" s="14"/>
      <c r="E30" s="13"/>
      <c r="F30" s="13"/>
      <c r="G30" s="126"/>
      <c r="H30" s="15"/>
    </row>
    <row r="31" spans="1:17" ht="12" customHeight="1">
      <c r="A31" s="5">
        <v>24</v>
      </c>
      <c r="B31" s="11" t="str">
        <f t="shared" si="0"/>
        <v/>
      </c>
      <c r="C31" s="13"/>
      <c r="D31" s="14"/>
      <c r="E31" s="13"/>
      <c r="F31" s="13"/>
      <c r="G31" s="126"/>
      <c r="H31" s="15"/>
    </row>
    <row r="32" spans="1:17" ht="12" customHeight="1">
      <c r="A32" s="5">
        <v>25</v>
      </c>
      <c r="B32" s="11" t="str">
        <f t="shared" si="0"/>
        <v/>
      </c>
      <c r="C32" s="13"/>
      <c r="D32" s="14"/>
      <c r="E32" s="13"/>
      <c r="F32" s="13"/>
      <c r="G32" s="126"/>
      <c r="H32" s="15"/>
    </row>
    <row r="33" spans="1:8" ht="12" customHeight="1">
      <c r="A33" s="5">
        <v>26</v>
      </c>
      <c r="B33" s="11" t="str">
        <f t="shared" si="0"/>
        <v/>
      </c>
      <c r="C33" s="13"/>
      <c r="D33" s="14"/>
      <c r="E33" s="13"/>
      <c r="F33" s="13"/>
      <c r="G33" s="126"/>
      <c r="H33" s="15"/>
    </row>
    <row r="34" spans="1:8" ht="12" customHeight="1">
      <c r="A34" s="5">
        <v>27</v>
      </c>
      <c r="B34" s="11" t="str">
        <f t="shared" si="0"/>
        <v/>
      </c>
      <c r="C34" s="13"/>
      <c r="D34" s="14"/>
      <c r="E34" s="13"/>
      <c r="F34" s="13"/>
      <c r="G34" s="126"/>
      <c r="H34" s="15"/>
    </row>
    <row r="35" spans="1:8" ht="12" customHeight="1">
      <c r="A35" s="5">
        <v>28</v>
      </c>
      <c r="B35" s="11" t="str">
        <f t="shared" si="0"/>
        <v/>
      </c>
      <c r="C35" s="13"/>
      <c r="D35" s="14"/>
      <c r="E35" s="13"/>
      <c r="F35" s="13"/>
      <c r="G35" s="126"/>
      <c r="H35" s="15"/>
    </row>
    <row r="36" spans="1:8" ht="12" customHeight="1">
      <c r="A36" s="5">
        <v>29</v>
      </c>
      <c r="B36" s="11" t="str">
        <f t="shared" si="0"/>
        <v/>
      </c>
      <c r="C36" s="13"/>
      <c r="D36" s="14"/>
      <c r="E36" s="13"/>
      <c r="F36" s="13"/>
      <c r="G36" s="126"/>
      <c r="H36" s="15"/>
    </row>
    <row r="37" spans="1:8" ht="12" customHeight="1">
      <c r="A37" s="5">
        <v>30</v>
      </c>
      <c r="B37" s="11" t="str">
        <f t="shared" si="0"/>
        <v/>
      </c>
      <c r="C37" s="13"/>
      <c r="D37" s="14"/>
      <c r="E37" s="13"/>
      <c r="F37" s="13"/>
      <c r="G37" s="126"/>
      <c r="H37" s="15"/>
    </row>
    <row r="38" spans="1:8" ht="12" hidden="1" customHeight="1">
      <c r="A38" s="5">
        <v>31</v>
      </c>
      <c r="B38" s="11" t="str">
        <f t="shared" si="0"/>
        <v/>
      </c>
      <c r="C38" s="13"/>
      <c r="D38" s="14"/>
      <c r="E38" s="13"/>
      <c r="F38" s="13"/>
      <c r="G38" s="126"/>
      <c r="H38" s="15"/>
    </row>
    <row r="39" spans="1:8" ht="12" hidden="1" customHeight="1">
      <c r="A39" s="5">
        <v>32</v>
      </c>
      <c r="B39" s="11" t="str">
        <f t="shared" si="0"/>
        <v/>
      </c>
      <c r="C39" s="13"/>
      <c r="D39" s="14"/>
      <c r="E39" s="13"/>
      <c r="F39" s="13"/>
      <c r="G39" s="126"/>
      <c r="H39" s="15"/>
    </row>
    <row r="40" spans="1:8" ht="12" hidden="1" customHeight="1">
      <c r="A40" s="5">
        <v>33</v>
      </c>
      <c r="B40" s="11" t="str">
        <f t="shared" si="0"/>
        <v/>
      </c>
      <c r="C40" s="13"/>
      <c r="D40" s="14"/>
      <c r="E40" s="13"/>
      <c r="F40" s="13"/>
      <c r="G40" s="126"/>
      <c r="H40" s="15"/>
    </row>
    <row r="41" spans="1:8" ht="12" hidden="1" customHeight="1">
      <c r="A41" s="5">
        <v>34</v>
      </c>
      <c r="B41" s="11" t="str">
        <f t="shared" si="0"/>
        <v/>
      </c>
      <c r="C41" s="13"/>
      <c r="D41" s="14"/>
      <c r="E41" s="13"/>
      <c r="F41" s="13"/>
      <c r="G41" s="126"/>
      <c r="H41" s="15"/>
    </row>
    <row r="42" spans="1:8" ht="12" hidden="1" customHeight="1">
      <c r="A42" s="5">
        <v>35</v>
      </c>
      <c r="B42" s="11" t="str">
        <f t="shared" si="0"/>
        <v/>
      </c>
      <c r="C42" s="13"/>
      <c r="D42" s="14"/>
      <c r="E42" s="13"/>
      <c r="F42" s="13"/>
      <c r="G42" s="126"/>
      <c r="H42" s="15"/>
    </row>
    <row r="43" spans="1:8" ht="12" hidden="1" customHeight="1">
      <c r="A43" s="5">
        <v>36</v>
      </c>
      <c r="B43" s="11" t="str">
        <f t="shared" si="0"/>
        <v/>
      </c>
      <c r="C43" s="13"/>
      <c r="D43" s="14"/>
      <c r="E43" s="13"/>
      <c r="F43" s="13"/>
      <c r="G43" s="126"/>
      <c r="H43" s="15"/>
    </row>
    <row r="44" spans="1:8" ht="12" hidden="1" customHeight="1">
      <c r="A44" s="5">
        <v>37</v>
      </c>
      <c r="B44" s="11" t="str">
        <f t="shared" si="0"/>
        <v/>
      </c>
      <c r="C44" s="13"/>
      <c r="D44" s="14"/>
      <c r="E44" s="13"/>
      <c r="F44" s="13"/>
      <c r="G44" s="126"/>
      <c r="H44" s="15"/>
    </row>
    <row r="45" spans="1:8" ht="12" hidden="1" customHeight="1">
      <c r="A45" s="5">
        <v>38</v>
      </c>
      <c r="B45" s="11" t="str">
        <f t="shared" si="0"/>
        <v/>
      </c>
      <c r="C45" s="13"/>
      <c r="D45" s="14"/>
      <c r="E45" s="13"/>
      <c r="F45" s="13"/>
      <c r="G45" s="126"/>
      <c r="H45" s="15"/>
    </row>
    <row r="46" spans="1:8" ht="12" hidden="1" customHeight="1">
      <c r="A46" s="5">
        <v>39</v>
      </c>
      <c r="B46" s="11" t="str">
        <f t="shared" si="0"/>
        <v/>
      </c>
      <c r="C46" s="13"/>
      <c r="D46" s="14"/>
      <c r="E46" s="13"/>
      <c r="F46" s="13"/>
      <c r="G46" s="126"/>
      <c r="H46" s="15"/>
    </row>
    <row r="47" spans="1:8" ht="12" hidden="1" customHeight="1">
      <c r="A47" s="5">
        <v>40</v>
      </c>
      <c r="B47" s="11" t="str">
        <f t="shared" si="0"/>
        <v/>
      </c>
      <c r="C47" s="13"/>
      <c r="D47" s="14"/>
      <c r="E47" s="13"/>
      <c r="F47" s="13"/>
      <c r="G47" s="126"/>
      <c r="H47" s="15"/>
    </row>
  </sheetData>
  <mergeCells count="5">
    <mergeCell ref="G4:H4"/>
    <mergeCell ref="A1:G1"/>
    <mergeCell ref="G3:H3"/>
    <mergeCell ref="A4:C4"/>
    <mergeCell ref="R9:R10"/>
  </mergeCells>
  <phoneticPr fontId="1"/>
  <conditionalFormatting sqref="G8:G47">
    <cfRule type="expression" dxfId="22" priority="18">
      <formula>$E8="１号認定"</formula>
    </cfRule>
  </conditionalFormatting>
  <conditionalFormatting sqref="B28:H47 B25:E27 G8:H27 B8:B24">
    <cfRule type="expression" dxfId="21" priority="15">
      <formula>$E8="３号認定"</formula>
    </cfRule>
    <cfRule type="expression" dxfId="20" priority="16">
      <formula>$E8="２号認定"</formula>
    </cfRule>
  </conditionalFormatting>
  <conditionalFormatting sqref="B28:F47 B25:E27 B8:B24">
    <cfRule type="expression" dxfId="19" priority="17">
      <formula>$E8="１号認定"</formula>
    </cfRule>
  </conditionalFormatting>
  <conditionalFormatting sqref="F25:F27">
    <cfRule type="expression" dxfId="18" priority="14">
      <formula>$E25="１号認定"</formula>
    </cfRule>
  </conditionalFormatting>
  <conditionalFormatting sqref="F25:F27">
    <cfRule type="expression" dxfId="17" priority="12">
      <formula>$E25="３号認定"</formula>
    </cfRule>
    <cfRule type="expression" dxfId="16" priority="13">
      <formula>$E25="２号認定"</formula>
    </cfRule>
  </conditionalFormatting>
  <conditionalFormatting sqref="F8:F16 F18 F20 F22 F24">
    <cfRule type="expression" dxfId="15" priority="8">
      <formula>$E8="１号認定"</formula>
    </cfRule>
  </conditionalFormatting>
  <conditionalFormatting sqref="C8:F11 C12:C24 D12:F16 D18:F18 D20:F20 D22:F22 D24:F24">
    <cfRule type="expression" dxfId="14" priority="5">
      <formula>$E8="３号認定"</formula>
    </cfRule>
    <cfRule type="expression" dxfId="13" priority="6">
      <formula>$E8="２号認定"</formula>
    </cfRule>
  </conditionalFormatting>
  <conditionalFormatting sqref="C8:E11 C12:C24 D12:E16 D18:E18 D20:E20 D22:E22 D24:E24">
    <cfRule type="expression" dxfId="12" priority="7">
      <formula>$E8="１号認定"</formula>
    </cfRule>
  </conditionalFormatting>
  <conditionalFormatting sqref="F17 F19 F21 F23">
    <cfRule type="expression" dxfId="11" priority="4">
      <formula>$E17="１号認定"</formula>
    </cfRule>
  </conditionalFormatting>
  <conditionalFormatting sqref="D17:F17 D19:F19 D21:F21 D23:F23">
    <cfRule type="expression" dxfId="10" priority="1">
      <formula>$E17="３号認定"</formula>
    </cfRule>
    <cfRule type="expression" dxfId="9" priority="2">
      <formula>$E17="２号認定"</formula>
    </cfRule>
  </conditionalFormatting>
  <conditionalFormatting sqref="D17:E17 D19:E19 D21:E21 D23:E23">
    <cfRule type="expression" dxfId="8" priority="3">
      <formula>$E17="１号認定"</formula>
    </cfRule>
  </conditionalFormatting>
  <dataValidations count="3">
    <dataValidation type="list" allowBlank="1" showInputMessage="1" showErrorMessage="1" sqref="F8:F27">
      <formula1>"標準時間,短時間"</formula1>
    </dataValidation>
    <dataValidation type="list" allowBlank="1" showInputMessage="1" showErrorMessage="1" sqref="F28:F47 E8:E47">
      <formula1>"１号認定,２号認定,３号認定"</formula1>
    </dataValidation>
    <dataValidation type="list" allowBlank="1" showInputMessage="1" showErrorMessage="1" sqref="G8:G47">
      <formula1>"加算対象者"</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8"/>
  <sheetViews>
    <sheetView view="pageBreakPreview" topLeftCell="A25" zoomScale="115" zoomScaleNormal="100" zoomScaleSheetLayoutView="115" workbookViewId="0">
      <selection activeCell="I31" sqref="I31"/>
    </sheetView>
  </sheetViews>
  <sheetFormatPr defaultRowHeight="18.75"/>
  <cols>
    <col min="1" max="1" width="2.5" customWidth="1"/>
    <col min="2" max="2" width="15.25" customWidth="1"/>
    <col min="3" max="3" width="7.125" customWidth="1"/>
    <col min="4" max="4" width="16.25" customWidth="1"/>
    <col min="5" max="5" width="17.125" customWidth="1"/>
    <col min="6" max="7" width="3" customWidth="1"/>
    <col min="8" max="8" width="5.5" customWidth="1"/>
    <col min="9" max="11" width="4.125" customWidth="1"/>
    <col min="12" max="13" width="7.25" customWidth="1"/>
    <col min="14" max="14" width="9.875" customWidth="1"/>
    <col min="15" max="15" width="9.5" customWidth="1"/>
    <col min="16" max="16" width="7.25" customWidth="1"/>
    <col min="17" max="17" width="4.5" customWidth="1"/>
    <col min="18" max="18" width="9" customWidth="1"/>
    <col min="19" max="22" width="3" customWidth="1"/>
    <col min="23" max="23" width="9" customWidth="1"/>
    <col min="24" max="24" width="9" style="4"/>
    <col min="25" max="25" width="10" customWidth="1"/>
    <col min="26" max="26" width="14" customWidth="1"/>
    <col min="27" max="29" width="5.125" customWidth="1"/>
  </cols>
  <sheetData>
    <row r="1" spans="1:31" ht="24">
      <c r="A1" s="230" t="str">
        <f>①基本情報!A1</f>
        <v>教育・保育給付に係る加算等確認表（小規模保育事業A型)</v>
      </c>
      <c r="B1" s="230"/>
      <c r="C1" s="230"/>
      <c r="D1" s="230"/>
      <c r="E1" s="230"/>
      <c r="F1" s="230"/>
      <c r="G1" s="230"/>
      <c r="H1" s="230"/>
      <c r="I1" s="230"/>
      <c r="J1" s="230"/>
      <c r="K1" s="230"/>
      <c r="L1" s="230"/>
      <c r="M1" s="231"/>
      <c r="N1" s="231"/>
      <c r="O1" s="231"/>
      <c r="P1" s="231"/>
      <c r="Q1" s="43"/>
      <c r="R1" s="43"/>
      <c r="S1" s="43"/>
      <c r="T1" s="74"/>
      <c r="U1" s="74"/>
      <c r="V1" s="74"/>
      <c r="W1" s="43"/>
    </row>
    <row r="2" spans="1:31">
      <c r="M2" s="169"/>
      <c r="N2" s="169"/>
      <c r="O2" s="169"/>
      <c r="P2" s="169">
        <f>改修履歴!A1</f>
        <v>0.99</v>
      </c>
      <c r="X2" s="4" t="s">
        <v>26</v>
      </c>
    </row>
    <row r="3" spans="1:31" ht="19.5" thickBot="1">
      <c r="A3" s="3" t="s">
        <v>23</v>
      </c>
      <c r="N3" t="s">
        <v>163</v>
      </c>
      <c r="X3" s="6" t="s">
        <v>25</v>
      </c>
    </row>
    <row r="4" spans="1:31" ht="19.5" thickBot="1">
      <c r="A4" s="223" t="str">
        <f>①基本情報!A7</f>
        <v>記載例小規模保育園</v>
      </c>
      <c r="B4" s="224"/>
      <c r="C4" s="224"/>
      <c r="D4" s="225"/>
      <c r="I4" s="250"/>
      <c r="J4" s="250"/>
      <c r="K4" s="250"/>
      <c r="L4" s="250"/>
      <c r="M4" s="203"/>
      <c r="N4" s="228">
        <f>①基本情報!A4</f>
        <v>45017</v>
      </c>
      <c r="O4" s="229"/>
      <c r="P4" s="203"/>
      <c r="Q4" s="72"/>
      <c r="R4" s="72"/>
      <c r="S4" s="72"/>
      <c r="T4" s="72"/>
      <c r="U4" s="72"/>
      <c r="V4" s="72"/>
      <c r="W4" s="72"/>
    </row>
    <row r="5" spans="1:31" ht="6" customHeight="1">
      <c r="A5" s="172"/>
      <c r="B5" s="172"/>
      <c r="C5" s="172"/>
      <c r="D5" s="172"/>
      <c r="E5" s="173"/>
      <c r="F5" s="173"/>
      <c r="G5" s="173"/>
      <c r="H5" s="173"/>
      <c r="I5" s="172"/>
      <c r="J5" s="172"/>
      <c r="K5" s="172"/>
      <c r="L5" s="172"/>
      <c r="M5" s="172"/>
      <c r="N5" s="172"/>
      <c r="O5" s="172"/>
      <c r="P5" s="172"/>
      <c r="Q5" s="72"/>
      <c r="R5" s="72"/>
      <c r="S5" s="72"/>
      <c r="T5" s="72"/>
      <c r="U5" s="72"/>
      <c r="V5" s="72"/>
      <c r="W5" s="72"/>
    </row>
    <row r="6" spans="1:31" ht="33">
      <c r="A6" s="172"/>
      <c r="B6" s="174" t="s">
        <v>200</v>
      </c>
      <c r="C6" s="175">
        <f>$Z$31+$Z$32</f>
        <v>16</v>
      </c>
      <c r="D6" s="255" t="str">
        <f>"(内訳：常勤"&amp;$Z$31&amp;"人、非常勤"&amp;$Z$32&amp;"人）"</f>
        <v>(内訳：常勤3人、非常勤13人）</v>
      </c>
      <c r="E6" s="256"/>
      <c r="F6" s="257" t="s">
        <v>201</v>
      </c>
      <c r="G6" s="258"/>
      <c r="H6" s="258"/>
      <c r="I6" s="258"/>
      <c r="J6" s="232">
        <f>$AC$32</f>
        <v>9.6</v>
      </c>
      <c r="K6" s="229"/>
      <c r="L6" s="172"/>
      <c r="M6" s="172"/>
      <c r="N6" s="172"/>
      <c r="O6" s="172"/>
      <c r="P6" s="172"/>
      <c r="Q6" s="72"/>
      <c r="R6" s="72"/>
      <c r="S6" s="72"/>
      <c r="T6" s="72"/>
      <c r="U6" s="72"/>
      <c r="V6" s="72"/>
      <c r="W6" s="72"/>
    </row>
    <row r="7" spans="1:31" ht="33">
      <c r="A7" s="172"/>
      <c r="B7" s="176" t="s">
        <v>202</v>
      </c>
      <c r="C7" s="177">
        <f>$Z$28+$Z$29</f>
        <v>8</v>
      </c>
      <c r="D7" s="259" t="str">
        <f>"(内訳：常勤"&amp;$Z$28&amp;"人、非常勤"&amp;$Z$29&amp;"人）"</f>
        <v>(内訳：常勤2人、非常勤6人）</v>
      </c>
      <c r="E7" s="260"/>
      <c r="F7" s="261" t="s">
        <v>203</v>
      </c>
      <c r="G7" s="258"/>
      <c r="H7" s="258"/>
      <c r="I7" s="258"/>
      <c r="J7" s="232">
        <f>$AC$29</f>
        <v>6</v>
      </c>
      <c r="K7" s="229"/>
      <c r="L7" s="172"/>
      <c r="M7" s="172"/>
      <c r="N7" s="172"/>
      <c r="O7" s="172"/>
      <c r="P7" s="172"/>
      <c r="Q7" s="180"/>
      <c r="R7" s="72"/>
      <c r="S7" s="72"/>
      <c r="T7" s="72"/>
      <c r="U7" s="72"/>
      <c r="V7" s="72"/>
      <c r="W7" s="72"/>
    </row>
    <row r="8" spans="1:31" ht="10.5" customHeight="1">
      <c r="X8" s="38" t="s">
        <v>55</v>
      </c>
      <c r="Y8" s="46">
        <f>①基本情報!A12</f>
        <v>160</v>
      </c>
    </row>
    <row r="9" spans="1:31" ht="13.5" customHeight="1">
      <c r="A9" s="253" t="s">
        <v>5</v>
      </c>
      <c r="B9" s="238" t="s">
        <v>59</v>
      </c>
      <c r="C9" s="251" t="s">
        <v>61</v>
      </c>
      <c r="D9" s="238" t="s">
        <v>62</v>
      </c>
      <c r="E9" s="251" t="s">
        <v>63</v>
      </c>
      <c r="F9" s="251" t="s">
        <v>4</v>
      </c>
      <c r="G9" s="251"/>
      <c r="H9" s="251"/>
      <c r="I9" s="252" t="s">
        <v>6</v>
      </c>
      <c r="J9" s="254" t="s">
        <v>8</v>
      </c>
      <c r="K9" s="254" t="s">
        <v>196</v>
      </c>
      <c r="L9" s="251" t="s">
        <v>7</v>
      </c>
      <c r="M9" s="248" t="s">
        <v>215</v>
      </c>
      <c r="N9" s="249"/>
      <c r="O9" s="249"/>
      <c r="P9" s="195"/>
      <c r="Q9" s="236"/>
      <c r="R9" s="236"/>
      <c r="S9" s="237"/>
      <c r="T9" s="237"/>
      <c r="U9" s="237"/>
      <c r="V9" s="237"/>
      <c r="W9" s="237"/>
    </row>
    <row r="10" spans="1:31" ht="19.5">
      <c r="A10" s="254"/>
      <c r="B10" s="239"/>
      <c r="C10" s="251"/>
      <c r="D10" s="239"/>
      <c r="E10" s="251"/>
      <c r="F10" s="47" t="s">
        <v>57</v>
      </c>
      <c r="G10" s="47" t="s">
        <v>58</v>
      </c>
      <c r="H10" s="186" t="s">
        <v>214</v>
      </c>
      <c r="I10" s="252"/>
      <c r="J10" s="254"/>
      <c r="K10" s="254"/>
      <c r="L10" s="251"/>
      <c r="M10" s="188" t="s">
        <v>216</v>
      </c>
      <c r="N10" s="47" t="s">
        <v>217</v>
      </c>
      <c r="O10" s="47" t="s">
        <v>218</v>
      </c>
      <c r="P10" s="195"/>
      <c r="Q10" s="190"/>
      <c r="R10" s="190"/>
      <c r="S10" s="236"/>
      <c r="T10" s="236"/>
      <c r="U10" s="236"/>
      <c r="V10" s="236"/>
      <c r="W10" s="237"/>
      <c r="AA10" s="45" t="s">
        <v>151</v>
      </c>
      <c r="AB10" s="45" t="s">
        <v>152</v>
      </c>
      <c r="AC10" s="45" t="s">
        <v>153</v>
      </c>
      <c r="AD10" s="45" t="s">
        <v>154</v>
      </c>
    </row>
    <row r="11" spans="1:31" ht="19.5" customHeight="1" thickBot="1">
      <c r="A11" s="240" t="s">
        <v>24</v>
      </c>
      <c r="B11" s="58" t="s">
        <v>64</v>
      </c>
      <c r="C11" s="53"/>
      <c r="D11" s="124" t="s">
        <v>120</v>
      </c>
      <c r="E11" s="205" t="s">
        <v>225</v>
      </c>
      <c r="F11" s="49" t="s">
        <v>54</v>
      </c>
      <c r="G11" s="146" t="s">
        <v>54</v>
      </c>
      <c r="H11" s="48"/>
      <c r="I11" s="50">
        <v>160</v>
      </c>
      <c r="J11" s="51" t="str">
        <f>IF(I11="","",IF(I11&lt;$Y$8,"非常勤","常勤"))</f>
        <v>常勤</v>
      </c>
      <c r="K11" s="50"/>
      <c r="L11" s="189"/>
      <c r="M11" s="200"/>
      <c r="N11" s="73"/>
      <c r="O11" s="194"/>
      <c r="P11" s="196" t="str">
        <f>IF(M11="あり",IF((I11+O11)&lt;=$AA$9,"OK","NG"),"")</f>
        <v/>
      </c>
      <c r="Q11" s="191"/>
      <c r="R11" s="191"/>
      <c r="S11" s="192"/>
      <c r="T11" s="192"/>
      <c r="U11" s="192"/>
      <c r="V11" s="192"/>
      <c r="W11" s="191"/>
      <c r="Z11" s="134" t="s">
        <v>120</v>
      </c>
      <c r="AA11" s="45">
        <f t="shared" ref="AA11:AA16" si="0">IF(E11="",0,1)</f>
        <v>1</v>
      </c>
      <c r="AB11" s="45"/>
      <c r="AC11" s="45"/>
      <c r="AD11" s="45">
        <f>IF(SUM(AA11:AC11)&gt;0,1,0)</f>
        <v>1</v>
      </c>
    </row>
    <row r="12" spans="1:31" ht="42.75" customHeight="1" thickBot="1">
      <c r="A12" s="243"/>
      <c r="B12" s="124" t="s">
        <v>123</v>
      </c>
      <c r="C12" s="52" t="s">
        <v>60</v>
      </c>
      <c r="D12" s="206" t="s">
        <v>247</v>
      </c>
      <c r="E12" s="205" t="s">
        <v>243</v>
      </c>
      <c r="F12" s="93"/>
      <c r="G12" s="151" t="s">
        <v>54</v>
      </c>
      <c r="H12" s="145"/>
      <c r="I12" s="50">
        <v>40</v>
      </c>
      <c r="J12" s="51" t="str">
        <f>IF(I12="","",IF(I12&lt;$Y$8,"非常勤","常勤"))</f>
        <v>非常勤</v>
      </c>
      <c r="K12" s="50"/>
      <c r="L12" s="189"/>
      <c r="M12" s="200"/>
      <c r="N12" s="73"/>
      <c r="O12" s="194"/>
      <c r="P12" s="202" t="str">
        <f>IF(M12="あり",IF((I12+O12)&lt;=$AA$9,"OK","NG"),"")</f>
        <v/>
      </c>
      <c r="Q12" s="191"/>
      <c r="R12" s="191"/>
      <c r="S12" s="192"/>
      <c r="T12" s="192"/>
      <c r="U12" s="192"/>
      <c r="V12" s="192"/>
      <c r="W12" s="191"/>
      <c r="Z12" s="135" t="s">
        <v>123</v>
      </c>
      <c r="AA12" s="45">
        <f t="shared" si="0"/>
        <v>1</v>
      </c>
      <c r="AB12" s="45"/>
      <c r="AC12" s="45"/>
      <c r="AD12" s="45">
        <f>IF(SUM(AA12:AC12)&gt;0,1,0)</f>
        <v>1</v>
      </c>
    </row>
    <row r="13" spans="1:31" ht="26.25" thickBot="1">
      <c r="A13" s="243"/>
      <c r="B13" s="124" t="s">
        <v>164</v>
      </c>
      <c r="C13" s="52" t="s">
        <v>60</v>
      </c>
      <c r="D13" s="206" t="s">
        <v>247</v>
      </c>
      <c r="E13" s="205" t="s">
        <v>244</v>
      </c>
      <c r="F13" s="93"/>
      <c r="G13" s="151" t="s">
        <v>54</v>
      </c>
      <c r="H13" s="145"/>
      <c r="I13" s="50">
        <v>32</v>
      </c>
      <c r="J13" s="51" t="str">
        <f>IF(I13="","",IF(I13&lt;$Y$8,"非常勤","常勤"))</f>
        <v>非常勤</v>
      </c>
      <c r="K13" s="50"/>
      <c r="L13" s="189"/>
      <c r="M13" s="200"/>
      <c r="N13" s="73"/>
      <c r="O13" s="194"/>
      <c r="P13" s="196" t="str">
        <f t="shared" ref="P13:P24" si="1">IF(M13="あり",IF((I13+O13)&lt;=$AA$9,"OK","NG"),"")</f>
        <v/>
      </c>
      <c r="Q13" s="191"/>
      <c r="R13" s="191"/>
      <c r="S13" s="192"/>
      <c r="T13" s="192"/>
      <c r="U13" s="192"/>
      <c r="V13" s="192"/>
      <c r="W13" s="191"/>
      <c r="Z13" s="135" t="s">
        <v>164</v>
      </c>
      <c r="AA13" s="45">
        <f t="shared" si="0"/>
        <v>1</v>
      </c>
      <c r="AB13" s="45"/>
      <c r="AC13" s="45"/>
      <c r="AD13" s="45">
        <f>IF(SUM(AA13:AC13)&gt;0,1,0)</f>
        <v>1</v>
      </c>
      <c r="AE13" s="45">
        <f>IF(AD12+AD13=2,1,0)</f>
        <v>1</v>
      </c>
    </row>
    <row r="14" spans="1:31" ht="24.95" customHeight="1">
      <c r="A14" s="243"/>
      <c r="B14" s="124" t="s">
        <v>122</v>
      </c>
      <c r="C14" s="48" t="s">
        <v>170</v>
      </c>
      <c r="D14" s="54"/>
      <c r="E14" s="205" t="s">
        <v>248</v>
      </c>
      <c r="F14" s="49"/>
      <c r="G14" s="147"/>
      <c r="H14" s="48"/>
      <c r="I14" s="48">
        <v>80</v>
      </c>
      <c r="J14" s="52" t="str">
        <f t="shared" ref="J14" si="2">IF(I14="","",IF(I14&lt;$Y$8,"非常勤","常勤"))</f>
        <v>非常勤</v>
      </c>
      <c r="K14" s="48"/>
      <c r="L14" s="189"/>
      <c r="M14" s="200"/>
      <c r="N14" s="73"/>
      <c r="O14" s="194"/>
      <c r="P14" s="196" t="str">
        <f t="shared" si="1"/>
        <v/>
      </c>
      <c r="Q14" s="191"/>
      <c r="R14" s="191"/>
      <c r="S14" s="192"/>
      <c r="T14" s="192"/>
      <c r="U14" s="192"/>
      <c r="V14" s="192"/>
      <c r="W14" s="191"/>
      <c r="Z14" s="136" t="s">
        <v>122</v>
      </c>
      <c r="AA14" s="45">
        <f t="shared" si="0"/>
        <v>1</v>
      </c>
      <c r="AB14" s="45">
        <f>IF(C14="委託",1,0)</f>
        <v>0</v>
      </c>
      <c r="AC14" s="45">
        <f>IF(C14="外部搬入",1,0)</f>
        <v>0</v>
      </c>
      <c r="AD14" s="45">
        <f>IF(SUM(AA14:AC14)&gt;0,1,0)</f>
        <v>1</v>
      </c>
    </row>
    <row r="15" spans="1:31" ht="24.95" customHeight="1">
      <c r="A15" s="243"/>
      <c r="B15" s="124" t="s">
        <v>121</v>
      </c>
      <c r="C15" s="137" t="s">
        <v>219</v>
      </c>
      <c r="D15" s="54"/>
      <c r="E15" s="205" t="s">
        <v>245</v>
      </c>
      <c r="F15" s="49"/>
      <c r="G15" s="49"/>
      <c r="H15" s="48"/>
      <c r="I15" s="48">
        <v>80</v>
      </c>
      <c r="J15" s="52" t="str">
        <f t="shared" ref="J15" si="3">IF(I15="","",IF(I15&lt;$Y$8,"非常勤","常勤"))</f>
        <v>非常勤</v>
      </c>
      <c r="K15" s="48"/>
      <c r="L15" s="189"/>
      <c r="M15" s="200"/>
      <c r="N15" s="73"/>
      <c r="O15" s="194"/>
      <c r="P15" s="196" t="str">
        <f t="shared" si="1"/>
        <v/>
      </c>
      <c r="Q15" s="191"/>
      <c r="R15" s="191"/>
      <c r="S15" s="192"/>
      <c r="T15" s="192"/>
      <c r="U15" s="192"/>
      <c r="V15" s="192"/>
      <c r="W15" s="191"/>
      <c r="Z15" s="136" t="s">
        <v>121</v>
      </c>
      <c r="AA15" s="45">
        <f t="shared" si="0"/>
        <v>1</v>
      </c>
      <c r="AB15" s="45">
        <f>IF(C15="管理者等兼務",1,0)</f>
        <v>0</v>
      </c>
      <c r="AC15" s="45"/>
      <c r="AD15" s="45">
        <f>IF(SUM(AA15:AC15)&gt;0,1,0)</f>
        <v>1</v>
      </c>
    </row>
    <row r="16" spans="1:31" ht="24.95" customHeight="1">
      <c r="A16" s="243"/>
      <c r="B16" s="53"/>
      <c r="C16" s="48" t="s">
        <v>56</v>
      </c>
      <c r="D16" s="54"/>
      <c r="E16" s="205" t="s">
        <v>246</v>
      </c>
      <c r="F16" s="49"/>
      <c r="G16" s="49"/>
      <c r="H16" s="48"/>
      <c r="I16" s="48">
        <v>120</v>
      </c>
      <c r="J16" s="52" t="str">
        <f t="shared" ref="J16:J18" si="4">IF(I16="","",IF(I16&lt;$Y$8,"非常勤","常勤"))</f>
        <v>非常勤</v>
      </c>
      <c r="K16" s="48"/>
      <c r="L16" s="189"/>
      <c r="M16" s="200"/>
      <c r="N16" s="73"/>
      <c r="O16" s="194"/>
      <c r="P16" s="196" t="str">
        <f t="shared" si="1"/>
        <v/>
      </c>
      <c r="Q16" s="191"/>
      <c r="R16" s="191"/>
      <c r="S16" s="192"/>
      <c r="T16" s="192"/>
      <c r="U16" s="192"/>
      <c r="V16" s="192"/>
      <c r="W16" s="191"/>
      <c r="AA16" s="207">
        <f t="shared" si="0"/>
        <v>1</v>
      </c>
    </row>
    <row r="17" spans="1:30" ht="24.95" customHeight="1">
      <c r="A17" s="243"/>
      <c r="B17" s="53"/>
      <c r="C17" s="48"/>
      <c r="D17" s="54"/>
      <c r="E17" s="48"/>
      <c r="F17" s="49"/>
      <c r="G17" s="49"/>
      <c r="H17" s="48"/>
      <c r="I17" s="48"/>
      <c r="J17" s="52" t="str">
        <f t="shared" si="4"/>
        <v/>
      </c>
      <c r="K17" s="48"/>
      <c r="L17" s="189"/>
      <c r="M17" s="200"/>
      <c r="N17" s="73"/>
      <c r="O17" s="194"/>
      <c r="P17" s="196" t="str">
        <f t="shared" si="1"/>
        <v/>
      </c>
      <c r="Q17" s="191"/>
      <c r="R17" s="191"/>
      <c r="S17" s="192"/>
      <c r="T17" s="192"/>
      <c r="U17" s="192"/>
      <c r="V17" s="192"/>
      <c r="W17" s="191"/>
    </row>
    <row r="18" spans="1:30" ht="24.95" customHeight="1">
      <c r="A18" s="244"/>
      <c r="B18" s="53"/>
      <c r="C18" s="48"/>
      <c r="D18" s="48"/>
      <c r="E18" s="48"/>
      <c r="F18" s="49"/>
      <c r="G18" s="49"/>
      <c r="H18" s="48"/>
      <c r="I18" s="48"/>
      <c r="J18" s="52" t="str">
        <f t="shared" si="4"/>
        <v/>
      </c>
      <c r="K18" s="48"/>
      <c r="L18" s="189"/>
      <c r="M18" s="200"/>
      <c r="N18" s="73"/>
      <c r="O18" s="194"/>
      <c r="P18" s="196" t="str">
        <f t="shared" si="1"/>
        <v/>
      </c>
      <c r="Q18" s="191"/>
      <c r="R18" s="191"/>
      <c r="S18" s="192"/>
      <c r="T18" s="192"/>
      <c r="U18" s="192"/>
      <c r="V18" s="192"/>
      <c r="W18" s="191"/>
    </row>
    <row r="19" spans="1:30" s="97" customFormat="1" ht="6" customHeight="1">
      <c r="A19" s="198"/>
      <c r="B19" s="94"/>
      <c r="C19" s="94"/>
      <c r="D19" s="94"/>
      <c r="E19" s="94"/>
      <c r="F19" s="95"/>
      <c r="G19" s="94"/>
      <c r="H19" s="94"/>
      <c r="I19" s="94"/>
      <c r="J19" s="94"/>
      <c r="K19" s="94"/>
      <c r="L19" s="96"/>
      <c r="M19" s="96"/>
      <c r="N19" s="96"/>
      <c r="O19" s="199"/>
      <c r="P19" s="196"/>
      <c r="Q19" s="193"/>
      <c r="R19" s="193"/>
      <c r="S19" s="193"/>
      <c r="T19" s="193"/>
      <c r="U19" s="193"/>
      <c r="V19" s="193"/>
      <c r="W19" s="193"/>
      <c r="X19" s="81"/>
    </row>
    <row r="20" spans="1:30" ht="24.95" customHeight="1">
      <c r="A20" s="240" t="s">
        <v>75</v>
      </c>
      <c r="B20" s="245" t="s">
        <v>195</v>
      </c>
      <c r="C20" s="48"/>
      <c r="D20" s="48"/>
      <c r="E20" s="48"/>
      <c r="F20" s="49"/>
      <c r="G20" s="49"/>
      <c r="H20" s="48"/>
      <c r="I20" s="48"/>
      <c r="J20" s="52" t="str">
        <f t="shared" ref="J20:J22" si="5">IF(I20="","",IF(I20&lt;$Y$8,"非常勤","常勤"))</f>
        <v/>
      </c>
      <c r="K20" s="48"/>
      <c r="L20" s="189"/>
      <c r="M20" s="200"/>
      <c r="N20" s="73"/>
      <c r="O20" s="194"/>
      <c r="P20" s="196" t="str">
        <f t="shared" si="1"/>
        <v/>
      </c>
      <c r="Q20" s="191"/>
      <c r="R20" s="191"/>
      <c r="S20" s="192"/>
      <c r="T20" s="192"/>
      <c r="U20" s="192"/>
      <c r="V20" s="192"/>
      <c r="W20" s="191"/>
    </row>
    <row r="21" spans="1:30" ht="24.95" customHeight="1">
      <c r="A21" s="241"/>
      <c r="B21" s="246"/>
      <c r="C21" s="48"/>
      <c r="D21" s="48"/>
      <c r="E21" s="48"/>
      <c r="F21" s="49"/>
      <c r="G21" s="49"/>
      <c r="H21" s="48"/>
      <c r="I21" s="48"/>
      <c r="J21" s="52" t="str">
        <f t="shared" si="5"/>
        <v/>
      </c>
      <c r="K21" s="48"/>
      <c r="L21" s="189"/>
      <c r="M21" s="200"/>
      <c r="N21" s="73"/>
      <c r="O21" s="194"/>
      <c r="P21" s="196" t="str">
        <f t="shared" si="1"/>
        <v/>
      </c>
      <c r="Q21" s="191"/>
      <c r="R21" s="191"/>
      <c r="S21" s="192"/>
      <c r="T21" s="192"/>
      <c r="U21" s="192"/>
      <c r="V21" s="192"/>
      <c r="W21" s="191"/>
    </row>
    <row r="22" spans="1:30" ht="24.95" customHeight="1">
      <c r="A22" s="242"/>
      <c r="B22" s="247"/>
      <c r="C22" s="48"/>
      <c r="D22" s="48"/>
      <c r="E22" s="48"/>
      <c r="F22" s="49"/>
      <c r="G22" s="49"/>
      <c r="H22" s="48"/>
      <c r="I22" s="48"/>
      <c r="J22" s="52" t="str">
        <f t="shared" si="5"/>
        <v/>
      </c>
      <c r="K22" s="48"/>
      <c r="L22" s="189"/>
      <c r="M22" s="200"/>
      <c r="N22" s="73"/>
      <c r="O22" s="194"/>
      <c r="P22" s="196" t="str">
        <f t="shared" si="1"/>
        <v/>
      </c>
      <c r="Q22" s="191"/>
      <c r="R22" s="191"/>
      <c r="S22" s="192"/>
      <c r="T22" s="192"/>
      <c r="U22" s="192"/>
      <c r="V22" s="192"/>
      <c r="W22" s="191"/>
    </row>
    <row r="23" spans="1:30" s="97" customFormat="1" ht="6" customHeight="1">
      <c r="A23" s="198"/>
      <c r="B23" s="94"/>
      <c r="C23" s="94"/>
      <c r="D23" s="94"/>
      <c r="E23" s="94"/>
      <c r="F23" s="95"/>
      <c r="G23" s="94"/>
      <c r="H23" s="94"/>
      <c r="I23" s="94"/>
      <c r="J23" s="94"/>
      <c r="K23" s="94"/>
      <c r="L23" s="96"/>
      <c r="M23" s="96"/>
      <c r="N23" s="96"/>
      <c r="O23" s="199"/>
      <c r="P23" s="196"/>
      <c r="Q23" s="193"/>
      <c r="R23" s="193"/>
      <c r="S23" s="193"/>
      <c r="T23" s="193"/>
      <c r="U23" s="193"/>
      <c r="V23" s="193"/>
      <c r="W23" s="193"/>
      <c r="X23" s="81"/>
    </row>
    <row r="24" spans="1:30" ht="24.95" customHeight="1">
      <c r="A24" s="98" t="s">
        <v>76</v>
      </c>
      <c r="B24" s="53"/>
      <c r="C24" s="55" t="s">
        <v>74</v>
      </c>
      <c r="D24" s="206" t="s">
        <v>241</v>
      </c>
      <c r="E24" s="205" t="s">
        <v>240</v>
      </c>
      <c r="F24" s="49"/>
      <c r="G24" s="49"/>
      <c r="H24" s="48" t="s">
        <v>242</v>
      </c>
      <c r="I24" s="48">
        <v>120</v>
      </c>
      <c r="J24" s="52" t="str">
        <f t="shared" ref="J24" si="6">IF(I24="","",IF(I24&lt;$Y$8,"非常勤","常勤"))</f>
        <v>非常勤</v>
      </c>
      <c r="K24" s="48"/>
      <c r="L24" s="189"/>
      <c r="M24" s="200"/>
      <c r="N24" s="73"/>
      <c r="O24" s="194"/>
      <c r="P24" s="196" t="str">
        <f t="shared" si="1"/>
        <v/>
      </c>
      <c r="Q24" s="191"/>
      <c r="R24" s="191"/>
      <c r="S24" s="192"/>
      <c r="T24" s="192"/>
      <c r="U24" s="192"/>
      <c r="V24" s="192"/>
      <c r="W24" s="191"/>
    </row>
    <row r="25" spans="1:30" s="97" customFormat="1" ht="6" customHeight="1">
      <c r="A25" s="198"/>
      <c r="B25" s="94"/>
      <c r="C25" s="94"/>
      <c r="D25" s="94"/>
      <c r="E25" s="94"/>
      <c r="F25" s="95"/>
      <c r="G25" s="94"/>
      <c r="H25" s="94"/>
      <c r="I25" s="94"/>
      <c r="J25" s="94"/>
      <c r="K25" s="94"/>
      <c r="L25" s="96"/>
      <c r="M25" s="96"/>
      <c r="N25" s="96"/>
      <c r="O25" s="199"/>
      <c r="P25" s="196"/>
      <c r="Q25" s="193"/>
      <c r="R25" s="193"/>
      <c r="S25" s="193"/>
      <c r="T25" s="193"/>
      <c r="U25" s="193"/>
      <c r="V25" s="193"/>
      <c r="W25" s="193"/>
      <c r="X25" s="81"/>
    </row>
    <row r="26" spans="1:30" s="97" customFormat="1" ht="13.5" customHeight="1">
      <c r="A26" s="233" t="s">
        <v>85</v>
      </c>
      <c r="B26" s="234"/>
      <c r="C26" s="234"/>
      <c r="D26" s="234"/>
      <c r="E26" s="234"/>
      <c r="F26" s="234"/>
      <c r="G26" s="234"/>
      <c r="H26" s="234"/>
      <c r="I26" s="234"/>
      <c r="J26" s="234"/>
      <c r="K26" s="234"/>
      <c r="L26" s="234"/>
      <c r="M26" s="201"/>
      <c r="N26" s="185"/>
      <c r="O26" s="185"/>
      <c r="P26" s="197"/>
      <c r="Q26" s="235"/>
      <c r="R26" s="235"/>
      <c r="S26" s="235"/>
      <c r="T26" s="235"/>
      <c r="U26" s="235"/>
      <c r="V26" s="235"/>
      <c r="W26" s="235"/>
      <c r="X26" s="81"/>
    </row>
    <row r="27" spans="1:30" ht="24.95" customHeight="1">
      <c r="A27" s="187">
        <v>1</v>
      </c>
      <c r="B27" s="149" t="str">
        <f>IF(I27&gt;0,IF(COUNTIF(G27:H27,"〇")&gt;=1,"","算定対象外(保資格)"),"")</f>
        <v/>
      </c>
      <c r="C27" s="48" t="s">
        <v>60</v>
      </c>
      <c r="D27" s="48" t="s">
        <v>235</v>
      </c>
      <c r="E27" s="205" t="s">
        <v>226</v>
      </c>
      <c r="F27" s="49" t="s">
        <v>54</v>
      </c>
      <c r="G27" s="49" t="s">
        <v>54</v>
      </c>
      <c r="H27" s="48"/>
      <c r="I27" s="48">
        <v>160</v>
      </c>
      <c r="J27" s="52" t="str">
        <f t="shared" ref="J27:J38" si="7">IF(I27="","",IF(I27&lt;$Y$8,"非常勤","常勤"))</f>
        <v>常勤</v>
      </c>
      <c r="K27" s="48"/>
      <c r="L27" s="189"/>
      <c r="M27" s="200"/>
      <c r="N27" s="73"/>
      <c r="O27" s="194"/>
      <c r="P27" s="196" t="str">
        <f t="shared" ref="P27:P38" si="8">IF(M27="あり",IF((I27+O27)&lt;=$AA$9,"OK","NG"),"")</f>
        <v/>
      </c>
      <c r="Q27" s="191"/>
      <c r="R27" s="191"/>
      <c r="S27" s="192"/>
      <c r="T27" s="192"/>
      <c r="U27" s="192"/>
      <c r="V27" s="192"/>
      <c r="W27" s="191"/>
      <c r="X27" s="148">
        <f t="shared" ref="X27:X34" si="9">COUNTIF(G27:H27,"〇")*I27</f>
        <v>160</v>
      </c>
      <c r="Y27" t="s">
        <v>204</v>
      </c>
      <c r="Z27" s="40" t="s">
        <v>42</v>
      </c>
      <c r="AA27" s="41" t="s">
        <v>43</v>
      </c>
      <c r="AB27" s="41" t="s">
        <v>44</v>
      </c>
      <c r="AD27" s="184"/>
    </row>
    <row r="28" spans="1:30" ht="24.95" customHeight="1">
      <c r="A28" s="187">
        <v>2</v>
      </c>
      <c r="B28" s="149" t="str">
        <f t="shared" ref="B28:B38" si="10">IF(I28&gt;0,IF(COUNTIF(G28:H28,"〇")&gt;=1,"","算定対象外(保資格)"),"")</f>
        <v/>
      </c>
      <c r="C28" s="48" t="s">
        <v>60</v>
      </c>
      <c r="D28" s="48" t="s">
        <v>236</v>
      </c>
      <c r="E28" s="205" t="s">
        <v>227</v>
      </c>
      <c r="F28" s="49" t="s">
        <v>54</v>
      </c>
      <c r="G28" s="49" t="s">
        <v>54</v>
      </c>
      <c r="H28" s="48"/>
      <c r="I28" s="48">
        <v>160</v>
      </c>
      <c r="J28" s="52" t="str">
        <f t="shared" si="7"/>
        <v>常勤</v>
      </c>
      <c r="K28" s="48"/>
      <c r="L28" s="189"/>
      <c r="M28" s="200"/>
      <c r="N28" s="73"/>
      <c r="O28" s="194"/>
      <c r="P28" s="196" t="str">
        <f t="shared" si="8"/>
        <v/>
      </c>
      <c r="Q28" s="191"/>
      <c r="R28" s="191"/>
      <c r="S28" s="192"/>
      <c r="T28" s="192"/>
      <c r="U28" s="192"/>
      <c r="V28" s="192"/>
      <c r="W28" s="191"/>
      <c r="X28" s="148">
        <f t="shared" si="9"/>
        <v>160</v>
      </c>
      <c r="Y28" s="38" t="s">
        <v>45</v>
      </c>
      <c r="Z28" s="39">
        <f>COUNTIFS($J$27:$J39,"常勤",$G$27:$G$39,"〇")+COUNTIFS($J$27:$J39,"常勤",$H$27:$H$39,"〇")+COUNTIF(J24,"常勤")</f>
        <v>2</v>
      </c>
      <c r="AA28" s="39">
        <f>Z28*Y8</f>
        <v>320</v>
      </c>
      <c r="AB28" s="39"/>
      <c r="AD28" s="184"/>
    </row>
    <row r="29" spans="1:30" ht="24.95" customHeight="1">
      <c r="A29" s="187">
        <v>3</v>
      </c>
      <c r="B29" s="149" t="str">
        <f t="shared" si="10"/>
        <v/>
      </c>
      <c r="C29" s="48" t="s">
        <v>60</v>
      </c>
      <c r="D29" s="48" t="s">
        <v>237</v>
      </c>
      <c r="E29" s="205" t="s">
        <v>228</v>
      </c>
      <c r="F29" s="49" t="s">
        <v>54</v>
      </c>
      <c r="G29" s="49" t="s">
        <v>54</v>
      </c>
      <c r="H29" s="48"/>
      <c r="I29" s="48">
        <v>120</v>
      </c>
      <c r="J29" s="52" t="str">
        <f t="shared" ref="J29:J37" si="11">IF(I29="","",IF(I29&lt;$Y$8,"非常勤","常勤"))</f>
        <v>非常勤</v>
      </c>
      <c r="K29" s="48"/>
      <c r="L29" s="189"/>
      <c r="M29" s="200"/>
      <c r="N29" s="73"/>
      <c r="O29" s="194"/>
      <c r="P29" s="196" t="str">
        <f t="shared" si="8"/>
        <v/>
      </c>
      <c r="Q29" s="191"/>
      <c r="R29" s="191"/>
      <c r="S29" s="192"/>
      <c r="T29" s="192"/>
      <c r="U29" s="192"/>
      <c r="V29" s="192"/>
      <c r="W29" s="191"/>
      <c r="X29" s="148">
        <f t="shared" si="9"/>
        <v>120</v>
      </c>
      <c r="Y29" s="39" t="s">
        <v>46</v>
      </c>
      <c r="Z29" s="39">
        <f>COUNTIFS($J$27:$J39,"非常勤",$G$27:$G$39,"〇")+COUNTIFS($J$27:$J39,"非常勤",$H$27:$H$39,"〇")+COUNTIF(J24,"非常勤")</f>
        <v>6</v>
      </c>
      <c r="AA29" s="39">
        <f>SUMIFS($X$27:$X39,$J$27:$J39,"非常勤")+I24</f>
        <v>640</v>
      </c>
      <c r="AB29" s="62">
        <f>ROUNDDOWN(AA29/Y8,1)</f>
        <v>4</v>
      </c>
      <c r="AC29" s="178">
        <f>Z28+AB29</f>
        <v>6</v>
      </c>
      <c r="AD29" s="184"/>
    </row>
    <row r="30" spans="1:30" ht="24.95" customHeight="1">
      <c r="A30" s="187">
        <v>4</v>
      </c>
      <c r="B30" s="149" t="str">
        <f t="shared" si="10"/>
        <v/>
      </c>
      <c r="C30" s="48" t="s">
        <v>60</v>
      </c>
      <c r="D30" s="206" t="s">
        <v>238</v>
      </c>
      <c r="E30" s="205" t="s">
        <v>229</v>
      </c>
      <c r="F30" s="49"/>
      <c r="G30" s="49" t="s">
        <v>54</v>
      </c>
      <c r="H30" s="48"/>
      <c r="I30" s="48">
        <v>120</v>
      </c>
      <c r="J30" s="52" t="str">
        <f t="shared" si="11"/>
        <v>非常勤</v>
      </c>
      <c r="K30" s="48"/>
      <c r="L30" s="189"/>
      <c r="M30" s="200"/>
      <c r="N30" s="73"/>
      <c r="O30" s="194"/>
      <c r="P30" s="196" t="str">
        <f t="shared" si="8"/>
        <v/>
      </c>
      <c r="Q30" s="191"/>
      <c r="R30" s="191"/>
      <c r="S30" s="192"/>
      <c r="T30" s="192"/>
      <c r="U30" s="192"/>
      <c r="V30" s="192"/>
      <c r="W30" s="191"/>
      <c r="X30" s="148">
        <f t="shared" si="9"/>
        <v>120</v>
      </c>
      <c r="Y30" s="170" t="s">
        <v>205</v>
      </c>
      <c r="Z30" s="40" t="s">
        <v>42</v>
      </c>
      <c r="AA30" s="41" t="s">
        <v>43</v>
      </c>
      <c r="AB30" s="41" t="s">
        <v>44</v>
      </c>
      <c r="AD30" s="184"/>
    </row>
    <row r="31" spans="1:30" ht="24.95" customHeight="1">
      <c r="A31" s="187">
        <v>5</v>
      </c>
      <c r="B31" s="149" t="str">
        <f t="shared" si="10"/>
        <v/>
      </c>
      <c r="C31" s="48" t="s">
        <v>60</v>
      </c>
      <c r="D31" s="206" t="s">
        <v>238</v>
      </c>
      <c r="E31" s="205" t="s">
        <v>230</v>
      </c>
      <c r="F31" s="49"/>
      <c r="G31" s="49" t="s">
        <v>54</v>
      </c>
      <c r="H31" s="48"/>
      <c r="I31" s="48">
        <v>120</v>
      </c>
      <c r="J31" s="52" t="str">
        <f t="shared" si="11"/>
        <v>非常勤</v>
      </c>
      <c r="K31" s="48"/>
      <c r="L31" s="189"/>
      <c r="M31" s="200"/>
      <c r="N31" s="73"/>
      <c r="O31" s="194"/>
      <c r="P31" s="196" t="str">
        <f t="shared" si="8"/>
        <v/>
      </c>
      <c r="Q31" s="191"/>
      <c r="R31" s="191"/>
      <c r="S31" s="192"/>
      <c r="T31" s="192"/>
      <c r="U31" s="192"/>
      <c r="V31" s="192"/>
      <c r="W31" s="191"/>
      <c r="X31" s="148">
        <f t="shared" si="9"/>
        <v>120</v>
      </c>
      <c r="Y31" s="38" t="s">
        <v>45</v>
      </c>
      <c r="Z31" s="39">
        <f>COUNTIF($J$11:$J$24,"常勤")+COUNTIF($J$27:$J$37,"常勤")</f>
        <v>3</v>
      </c>
      <c r="AA31" s="39">
        <f>Z31*Y8</f>
        <v>480</v>
      </c>
      <c r="AB31" s="39"/>
      <c r="AD31" s="184"/>
    </row>
    <row r="32" spans="1:30" ht="24.95" customHeight="1">
      <c r="A32" s="187">
        <v>6</v>
      </c>
      <c r="B32" s="149" t="str">
        <f t="shared" si="10"/>
        <v/>
      </c>
      <c r="C32" s="48" t="s">
        <v>60</v>
      </c>
      <c r="D32" s="206" t="s">
        <v>239</v>
      </c>
      <c r="E32" s="205" t="s">
        <v>231</v>
      </c>
      <c r="F32" s="49"/>
      <c r="G32" s="49" t="s">
        <v>54</v>
      </c>
      <c r="H32" s="48"/>
      <c r="I32" s="48">
        <v>96</v>
      </c>
      <c r="J32" s="52" t="str">
        <f t="shared" si="11"/>
        <v>非常勤</v>
      </c>
      <c r="K32" s="48"/>
      <c r="L32" s="189"/>
      <c r="M32" s="200"/>
      <c r="N32" s="73"/>
      <c r="O32" s="194"/>
      <c r="P32" s="196" t="str">
        <f t="shared" si="8"/>
        <v/>
      </c>
      <c r="Q32" s="191"/>
      <c r="R32" s="191"/>
      <c r="S32" s="192"/>
      <c r="T32" s="192"/>
      <c r="U32" s="192"/>
      <c r="V32" s="192"/>
      <c r="W32" s="191"/>
      <c r="X32" s="148">
        <f t="shared" si="9"/>
        <v>96</v>
      </c>
      <c r="Y32" s="39" t="s">
        <v>46</v>
      </c>
      <c r="Z32" s="39">
        <f>COUNTIF($J$11:$J$24,"非常勤")+COUNTIF($J$27:$J$37,"非常勤")</f>
        <v>13</v>
      </c>
      <c r="AA32" s="39">
        <f>SUMIFS(I11:I24,J11:J24,"非常勤")+SUMIFS(I27:I37,J27:J37,"非常勤")</f>
        <v>1056</v>
      </c>
      <c r="AB32" s="62">
        <f>AA32/Y8</f>
        <v>6.6</v>
      </c>
      <c r="AC32" s="179">
        <f>ROUND(Z31+AB32,1)</f>
        <v>9.6</v>
      </c>
      <c r="AD32" s="184"/>
    </row>
    <row r="33" spans="1:30" ht="24.95" customHeight="1">
      <c r="A33" s="187">
        <v>7</v>
      </c>
      <c r="B33" s="149" t="str">
        <f t="shared" si="10"/>
        <v/>
      </c>
      <c r="C33" s="48" t="s">
        <v>60</v>
      </c>
      <c r="D33" s="54"/>
      <c r="E33" s="205" t="s">
        <v>232</v>
      </c>
      <c r="F33" s="49"/>
      <c r="G33" s="49" t="s">
        <v>54</v>
      </c>
      <c r="H33" s="48"/>
      <c r="I33" s="48">
        <v>64</v>
      </c>
      <c r="J33" s="52" t="str">
        <f t="shared" si="11"/>
        <v>非常勤</v>
      </c>
      <c r="K33" s="48"/>
      <c r="L33" s="189"/>
      <c r="M33" s="200"/>
      <c r="N33" s="73"/>
      <c r="O33" s="194"/>
      <c r="P33" s="196" t="str">
        <f t="shared" si="8"/>
        <v/>
      </c>
      <c r="Q33" s="191"/>
      <c r="R33" s="191"/>
      <c r="S33" s="192"/>
      <c r="T33" s="192"/>
      <c r="U33" s="192"/>
      <c r="V33" s="192"/>
      <c r="W33" s="191"/>
      <c r="X33" s="148">
        <f t="shared" si="9"/>
        <v>64</v>
      </c>
      <c r="AD33" s="184"/>
    </row>
    <row r="34" spans="1:30" ht="24.95" customHeight="1">
      <c r="A34" s="187">
        <v>8</v>
      </c>
      <c r="B34" s="149" t="str">
        <f t="shared" si="10"/>
        <v>算定対象外(保資格)</v>
      </c>
      <c r="C34" s="48"/>
      <c r="D34" s="54"/>
      <c r="E34" s="205" t="s">
        <v>233</v>
      </c>
      <c r="F34" s="49"/>
      <c r="G34" s="49"/>
      <c r="H34" s="48"/>
      <c r="I34" s="48">
        <v>32</v>
      </c>
      <c r="J34" s="52" t="str">
        <f t="shared" si="11"/>
        <v>非常勤</v>
      </c>
      <c r="K34" s="48"/>
      <c r="L34" s="189"/>
      <c r="M34" s="200"/>
      <c r="N34" s="73"/>
      <c r="O34" s="194"/>
      <c r="P34" s="196" t="str">
        <f t="shared" si="8"/>
        <v/>
      </c>
      <c r="Q34" s="191"/>
      <c r="R34" s="191"/>
      <c r="S34" s="192"/>
      <c r="T34" s="192"/>
      <c r="U34" s="192"/>
      <c r="V34" s="192"/>
      <c r="W34" s="191"/>
      <c r="X34" s="148">
        <f t="shared" si="9"/>
        <v>0</v>
      </c>
      <c r="AD34" s="184"/>
    </row>
    <row r="35" spans="1:30" ht="24.95" customHeight="1">
      <c r="A35" s="187">
        <v>9</v>
      </c>
      <c r="B35" s="149" t="str">
        <f t="shared" si="10"/>
        <v>算定対象外(保資格)</v>
      </c>
      <c r="C35" s="48"/>
      <c r="D35" s="54"/>
      <c r="E35" s="205" t="s">
        <v>234</v>
      </c>
      <c r="F35" s="49"/>
      <c r="G35" s="49"/>
      <c r="H35" s="48"/>
      <c r="I35" s="48">
        <v>32</v>
      </c>
      <c r="J35" s="52" t="str">
        <f t="shared" si="11"/>
        <v>非常勤</v>
      </c>
      <c r="K35" s="48"/>
      <c r="L35" s="189"/>
      <c r="M35" s="200"/>
      <c r="N35" s="73"/>
      <c r="O35" s="194"/>
      <c r="P35" s="196" t="str">
        <f t="shared" si="8"/>
        <v/>
      </c>
      <c r="Q35" s="191"/>
      <c r="R35" s="191"/>
      <c r="S35" s="192"/>
      <c r="T35" s="192"/>
      <c r="U35" s="192"/>
      <c r="V35" s="192"/>
      <c r="W35" s="191"/>
      <c r="X35" s="148">
        <f>COUNTIF(G35:H35,"〇")*I35</f>
        <v>0</v>
      </c>
      <c r="AD35" s="184"/>
    </row>
    <row r="36" spans="1:30" ht="24.95" customHeight="1">
      <c r="A36" s="187">
        <v>10</v>
      </c>
      <c r="B36" s="149" t="str">
        <f t="shared" si="10"/>
        <v/>
      </c>
      <c r="C36" s="48"/>
      <c r="D36" s="54"/>
      <c r="E36" s="48"/>
      <c r="F36" s="49"/>
      <c r="G36" s="49"/>
      <c r="H36" s="48"/>
      <c r="I36" s="48"/>
      <c r="J36" s="52" t="str">
        <f t="shared" si="11"/>
        <v/>
      </c>
      <c r="K36" s="48"/>
      <c r="L36" s="189"/>
      <c r="M36" s="200"/>
      <c r="N36" s="73"/>
      <c r="O36" s="194"/>
      <c r="P36" s="196" t="str">
        <f t="shared" si="8"/>
        <v/>
      </c>
      <c r="Q36" s="191"/>
      <c r="R36" s="191"/>
      <c r="S36" s="192"/>
      <c r="T36" s="192"/>
      <c r="U36" s="192"/>
      <c r="V36" s="192"/>
      <c r="W36" s="191"/>
      <c r="X36" s="148">
        <f t="shared" ref="X36:X38" si="12">COUNTIF(G36:H36,"〇")*I36</f>
        <v>0</v>
      </c>
      <c r="AD36" s="184"/>
    </row>
    <row r="37" spans="1:30" ht="24.95" customHeight="1">
      <c r="A37" s="187">
        <v>11</v>
      </c>
      <c r="B37" s="149" t="str">
        <f t="shared" si="10"/>
        <v/>
      </c>
      <c r="C37" s="48"/>
      <c r="D37" s="54"/>
      <c r="E37" s="48"/>
      <c r="F37" s="49"/>
      <c r="G37" s="49"/>
      <c r="H37" s="48"/>
      <c r="I37" s="48"/>
      <c r="J37" s="52" t="str">
        <f t="shared" si="11"/>
        <v/>
      </c>
      <c r="K37" s="48"/>
      <c r="L37" s="189"/>
      <c r="M37" s="200"/>
      <c r="N37" s="73"/>
      <c r="O37" s="194"/>
      <c r="P37" s="196" t="str">
        <f t="shared" si="8"/>
        <v/>
      </c>
      <c r="Q37" s="191"/>
      <c r="R37" s="191"/>
      <c r="S37" s="192"/>
      <c r="T37" s="192"/>
      <c r="U37" s="192"/>
      <c r="V37" s="192"/>
      <c r="W37" s="191"/>
      <c r="X37" s="148">
        <f t="shared" si="12"/>
        <v>0</v>
      </c>
      <c r="AD37" s="184"/>
    </row>
    <row r="38" spans="1:30" ht="24.95" customHeight="1">
      <c r="A38" s="187">
        <v>12</v>
      </c>
      <c r="B38" s="149" t="str">
        <f t="shared" si="10"/>
        <v/>
      </c>
      <c r="C38" s="48"/>
      <c r="D38" s="48"/>
      <c r="E38" s="48"/>
      <c r="F38" s="49"/>
      <c r="G38" s="49"/>
      <c r="H38" s="48"/>
      <c r="I38" s="48"/>
      <c r="J38" s="52" t="str">
        <f t="shared" si="7"/>
        <v/>
      </c>
      <c r="K38" s="48"/>
      <c r="L38" s="189"/>
      <c r="M38" s="200"/>
      <c r="N38" s="73"/>
      <c r="O38" s="194"/>
      <c r="P38" s="196" t="str">
        <f t="shared" si="8"/>
        <v/>
      </c>
      <c r="Q38" s="191"/>
      <c r="R38" s="191"/>
      <c r="S38" s="192"/>
      <c r="T38" s="192"/>
      <c r="U38" s="192"/>
      <c r="V38" s="192"/>
      <c r="W38" s="191"/>
      <c r="X38" s="148">
        <f t="shared" si="12"/>
        <v>0</v>
      </c>
      <c r="AD38" s="184"/>
    </row>
  </sheetData>
  <mergeCells count="31">
    <mergeCell ref="A4:D4"/>
    <mergeCell ref="I4:L4"/>
    <mergeCell ref="F9:H9"/>
    <mergeCell ref="I9:I10"/>
    <mergeCell ref="L9:L10"/>
    <mergeCell ref="E9:E10"/>
    <mergeCell ref="C9:C10"/>
    <mergeCell ref="A9:A10"/>
    <mergeCell ref="J9:J10"/>
    <mergeCell ref="K9:K10"/>
    <mergeCell ref="D6:E6"/>
    <mergeCell ref="F6:I6"/>
    <mergeCell ref="D7:E7"/>
    <mergeCell ref="F7:I7"/>
    <mergeCell ref="J6:K6"/>
    <mergeCell ref="N4:O4"/>
    <mergeCell ref="A1:P1"/>
    <mergeCell ref="J7:K7"/>
    <mergeCell ref="A26:L26"/>
    <mergeCell ref="Q26:W26"/>
    <mergeCell ref="Q9:R9"/>
    <mergeCell ref="W9:W10"/>
    <mergeCell ref="D9:D10"/>
    <mergeCell ref="B9:B10"/>
    <mergeCell ref="S9:V9"/>
    <mergeCell ref="S10:T10"/>
    <mergeCell ref="U10:V10"/>
    <mergeCell ref="A20:A22"/>
    <mergeCell ref="A11:A18"/>
    <mergeCell ref="B20:B22"/>
    <mergeCell ref="M9:O9"/>
  </mergeCells>
  <phoneticPr fontId="1"/>
  <conditionalFormatting sqref="D14 F14:L14">
    <cfRule type="expression" dxfId="7" priority="7">
      <formula>$C$14="委託"</formula>
    </cfRule>
    <cfRule type="expression" dxfId="6" priority="8">
      <formula>$C$14="外部搬入"</formula>
    </cfRule>
  </conditionalFormatting>
  <conditionalFormatting sqref="D15:L15">
    <cfRule type="expression" dxfId="5" priority="6">
      <formula>$C$15="管理者等兼務"</formula>
    </cfRule>
  </conditionalFormatting>
  <conditionalFormatting sqref="N11:O11">
    <cfRule type="expression" dxfId="4" priority="5">
      <formula>$M$12="なし"</formula>
    </cfRule>
  </conditionalFormatting>
  <conditionalFormatting sqref="N11:O18">
    <cfRule type="expression" dxfId="3" priority="4">
      <formula>$M11="なし"</formula>
    </cfRule>
  </conditionalFormatting>
  <conditionalFormatting sqref="N20:O22">
    <cfRule type="expression" dxfId="2" priority="3">
      <formula>$M20="なし"</formula>
    </cfRule>
  </conditionalFormatting>
  <conditionalFormatting sqref="N24:O24">
    <cfRule type="expression" dxfId="1" priority="2">
      <formula>$M24="なし"</formula>
    </cfRule>
  </conditionalFormatting>
  <conditionalFormatting sqref="N27:O38">
    <cfRule type="expression" dxfId="0" priority="1">
      <formula>$M27="なし"</formula>
    </cfRule>
  </conditionalFormatting>
  <dataValidations count="8">
    <dataValidation type="list" allowBlank="1" showInputMessage="1" showErrorMessage="1" sqref="F24:G24 F20:G22 F11:G18 F27:G38">
      <formula1>"〇"</formula1>
    </dataValidation>
    <dataValidation type="list" allowBlank="1" showInputMessage="1" showErrorMessage="1" sqref="J11:J18 J24 J20:J22 J27:J38">
      <formula1>"常勤,非常勤,常勤補助,非常勤補助"</formula1>
    </dataValidation>
    <dataValidation type="list" allowBlank="1" showInputMessage="1" showErrorMessage="1" sqref="C15">
      <formula1>"事務職員,管理者等兼務"</formula1>
    </dataValidation>
    <dataValidation type="list" allowBlank="1" showInputMessage="1" showErrorMessage="1" sqref="C14">
      <formula1>"調理員等,委託,外部搬入"</formula1>
    </dataValidation>
    <dataValidation type="list" allowBlank="1" showInputMessage="1" showErrorMessage="1" sqref="K11:K18 K20:K22 K24 K27:K38">
      <formula1>"○,―"</formula1>
    </dataValidation>
    <dataValidation type="whole" errorStyle="warning" operator="lessThanOrEqual" showErrorMessage="1" errorTitle="特例の場合の入力について" error="特例該当者の場合は、保育士免許を所持していないと思われますので、G列・H列の両方に「○」は入りません。" sqref="AD27:AD38">
      <formula1>1</formula1>
    </dataValidation>
    <dataValidation type="list" allowBlank="1" showInputMessage="1" showErrorMessage="1" promptTitle="特例の場合の入力について" prompt="特例該当者の場合は、保育士免許を所持していないと思われますので、G列・H列の両方に「○」は入りません。" sqref="H27:H38">
      <formula1>"〇"</formula1>
    </dataValidation>
    <dataValidation type="list" allowBlank="1" showInputMessage="1" showErrorMessage="1" sqref="M11:M18 M20:M22 M24 M27:M38">
      <formula1>"あり,なし"</formula1>
    </dataValidation>
  </dataValidations>
  <pageMargins left="0.51181102362204722" right="0.31496062992125984" top="0.55118110236220474" bottom="0.55118110236220474" header="0.31496062992125984" footer="0.31496062992125984"/>
  <pageSetup paperSize="9" scale="70"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9"/>
  <sheetViews>
    <sheetView view="pageBreakPreview" topLeftCell="A7" zoomScale="145" zoomScaleNormal="100" zoomScaleSheetLayoutView="145" workbookViewId="0">
      <selection activeCell="H24" sqref="H24:I24"/>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19.5">
      <c r="A1" s="208" t="str">
        <f>①基本情報!A1</f>
        <v>教育・保育給付に係る加算等確認表（小規模保育事業A型)</v>
      </c>
      <c r="B1" s="267"/>
      <c r="C1" s="267"/>
      <c r="D1" s="267"/>
      <c r="E1" s="267"/>
      <c r="F1" s="267"/>
      <c r="G1" s="267"/>
      <c r="H1" s="267"/>
      <c r="I1" s="267"/>
      <c r="J1" s="10"/>
      <c r="K1" s="10"/>
      <c r="L1" s="10" t="s">
        <v>191</v>
      </c>
    </row>
    <row r="2" spans="1:18" ht="19.5" thickBot="1">
      <c r="A2" t="s">
        <v>162</v>
      </c>
      <c r="I2" s="166">
        <f>改修履歴!A1</f>
        <v>0.99</v>
      </c>
      <c r="K2" s="160">
        <f>IF(L2="可",1,0)</f>
        <v>1</v>
      </c>
      <c r="L2" s="161" t="str">
        <f>IF(N2=3,"可","不可")</f>
        <v>可</v>
      </c>
      <c r="M2" s="23" t="s">
        <v>126</v>
      </c>
      <c r="N2">
        <f>SUM(O2:Q2)</f>
        <v>3</v>
      </c>
      <c r="O2">
        <f>IF(⑤集計表!L40&gt;0,1,0)</f>
        <v>1</v>
      </c>
      <c r="P2">
        <f>IF(⑤集計表!O45&gt;=0,1,0)</f>
        <v>1</v>
      </c>
      <c r="Q2">
        <f>$K$7</f>
        <v>1</v>
      </c>
    </row>
    <row r="3" spans="1:18" ht="19.5" thickBot="1">
      <c r="A3" s="219">
        <f>①基本情報!A4</f>
        <v>45017</v>
      </c>
      <c r="B3" s="266"/>
      <c r="C3" s="266"/>
      <c r="D3" s="220"/>
      <c r="K3" s="160">
        <f t="shared" ref="K3:K4" si="0">IF(L3="可",1,0)</f>
        <v>0</v>
      </c>
      <c r="L3" s="161" t="str">
        <f>IF(N3=1,"可","不可")</f>
        <v>不可</v>
      </c>
      <c r="M3" s="23" t="s">
        <v>192</v>
      </c>
      <c r="N3">
        <f>SUM(O3:Q3)</f>
        <v>0</v>
      </c>
      <c r="O3">
        <f>IF(③職員名簿!$E$11="",1,0)</f>
        <v>0</v>
      </c>
    </row>
    <row r="4" spans="1:18" ht="17.25" customHeight="1">
      <c r="A4" s="7"/>
      <c r="B4" s="8"/>
      <c r="C4" s="8"/>
      <c r="D4" s="8"/>
      <c r="E4" s="8"/>
      <c r="F4" s="8"/>
      <c r="G4" s="8"/>
      <c r="H4" s="8"/>
      <c r="I4" s="10"/>
      <c r="K4" s="160">
        <f t="shared" si="0"/>
        <v>1</v>
      </c>
      <c r="L4" s="161" t="str">
        <f>IF(N4=1,"可","不可")</f>
        <v>可</v>
      </c>
      <c r="M4" s="23" t="s">
        <v>194</v>
      </c>
      <c r="N4">
        <f>SUM(O4:P4)</f>
        <v>1</v>
      </c>
      <c r="O4">
        <f>①基本情報!N4</f>
        <v>1</v>
      </c>
    </row>
    <row r="5" spans="1:18" ht="19.5" thickBot="1">
      <c r="A5" s="3" t="s">
        <v>23</v>
      </c>
      <c r="F5" s="21"/>
      <c r="G5" s="21"/>
      <c r="H5" s="21"/>
      <c r="I5" s="21"/>
      <c r="L5" s="108"/>
      <c r="M5" s="23"/>
    </row>
    <row r="6" spans="1:18" ht="19.5" thickBot="1">
      <c r="A6" s="223" t="str">
        <f>①基本情報!A7</f>
        <v>記載例小規模保育園</v>
      </c>
      <c r="B6" s="224"/>
      <c r="C6" s="224"/>
      <c r="D6" s="224"/>
      <c r="E6" s="224"/>
      <c r="F6" s="224"/>
      <c r="G6" s="225"/>
      <c r="H6" s="57"/>
      <c r="L6" s="108"/>
      <c r="M6" s="23"/>
    </row>
    <row r="7" spans="1:18">
      <c r="K7" s="160">
        <f>IF(L7="OK",1,0)</f>
        <v>1</v>
      </c>
      <c r="L7" s="161" t="str">
        <f>IF(⑤集計表!M29="満たしている","OK","NG")</f>
        <v>OK</v>
      </c>
      <c r="M7" s="162" t="s">
        <v>193</v>
      </c>
    </row>
    <row r="8" spans="1:18" ht="19.5" thickBot="1">
      <c r="A8" t="s">
        <v>40</v>
      </c>
      <c r="F8" t="s">
        <v>32</v>
      </c>
      <c r="L8" s="108"/>
      <c r="M8" s="23"/>
    </row>
    <row r="9" spans="1:18" ht="19.5" thickBot="1">
      <c r="A9" s="1">
        <v>1</v>
      </c>
      <c r="B9" s="76" t="s">
        <v>54</v>
      </c>
      <c r="C9" s="268" t="s">
        <v>27</v>
      </c>
      <c r="D9" s="262"/>
      <c r="E9" s="22"/>
      <c r="F9" s="1">
        <v>8</v>
      </c>
      <c r="G9" s="17"/>
      <c r="H9" s="262" t="s">
        <v>127</v>
      </c>
      <c r="I9" s="263"/>
      <c r="L9" s="108"/>
      <c r="M9" s="23"/>
    </row>
    <row r="10" spans="1:18" ht="19.5" thickBot="1">
      <c r="A10" s="109">
        <v>2</v>
      </c>
      <c r="B10" s="110"/>
      <c r="C10" s="269" t="s">
        <v>125</v>
      </c>
      <c r="D10" s="264"/>
      <c r="E10" s="22"/>
      <c r="F10" s="1">
        <v>9</v>
      </c>
      <c r="G10" s="17"/>
      <c r="H10" s="262" t="s">
        <v>128</v>
      </c>
      <c r="I10" s="263"/>
      <c r="L10" s="108"/>
      <c r="M10" s="23"/>
    </row>
    <row r="11" spans="1:18" ht="19.5" thickBot="1">
      <c r="A11" s="1">
        <v>3</v>
      </c>
      <c r="B11" s="17" t="s">
        <v>54</v>
      </c>
      <c r="C11" s="128">
        <f>M24</f>
        <v>2</v>
      </c>
      <c r="D11" s="121" t="str">
        <f>IF(K2=1,"障害児保育加算","【適用不可】障害児保育加算")</f>
        <v>障害児保育加算</v>
      </c>
      <c r="E11" s="22"/>
      <c r="F11" s="1">
        <v>10</v>
      </c>
      <c r="G11" s="17"/>
      <c r="H11" s="262" t="str">
        <f>IF(K3=1,"管理者を配置していない場合","【適用不可（"&amp;③職員名簿!E11&amp;"）】管理者を配置していない場合")</f>
        <v>【適用不可（a）】管理者を配置していない場合</v>
      </c>
      <c r="I11" s="263"/>
      <c r="L11" s="108"/>
      <c r="M11" s="23"/>
    </row>
    <row r="12" spans="1:18" ht="19.5" thickBot="1">
      <c r="A12" s="1">
        <v>4</v>
      </c>
      <c r="B12" s="17"/>
      <c r="C12" s="117"/>
      <c r="D12" s="56" t="s">
        <v>28</v>
      </c>
      <c r="E12" s="22"/>
      <c r="F12" s="1">
        <v>11</v>
      </c>
      <c r="G12" s="181"/>
      <c r="H12" s="182"/>
      <c r="I12" s="78" t="s">
        <v>208</v>
      </c>
      <c r="L12" s="108"/>
      <c r="M12" s="23"/>
    </row>
    <row r="13" spans="1:18" ht="19.5" thickBot="1">
      <c r="A13" s="109">
        <v>5</v>
      </c>
      <c r="B13" s="110"/>
      <c r="C13" s="270" t="s">
        <v>29</v>
      </c>
      <c r="D13" s="265"/>
      <c r="E13" s="22"/>
      <c r="L13" s="108"/>
      <c r="M13" s="23"/>
    </row>
    <row r="14" spans="1:18" ht="19.5" thickBot="1">
      <c r="A14" s="1">
        <v>6</v>
      </c>
      <c r="B14" s="17"/>
      <c r="C14" s="262" t="s">
        <v>30</v>
      </c>
      <c r="D14" s="263"/>
      <c r="E14" s="22"/>
      <c r="F14" t="s">
        <v>33</v>
      </c>
      <c r="I14" s="23"/>
      <c r="L14" s="108"/>
      <c r="M14" s="23"/>
    </row>
    <row r="15" spans="1:18" ht="19.5" thickBot="1">
      <c r="A15" s="1">
        <v>7</v>
      </c>
      <c r="B15" s="17" t="s">
        <v>54</v>
      </c>
      <c r="C15" s="262" t="s">
        <v>31</v>
      </c>
      <c r="D15" s="263"/>
      <c r="E15" s="22"/>
      <c r="F15" s="127">
        <v>12</v>
      </c>
      <c r="G15" s="17"/>
      <c r="H15" s="262" t="s">
        <v>129</v>
      </c>
      <c r="I15" s="263"/>
      <c r="L15" s="108"/>
      <c r="M15" s="23"/>
      <c r="R15" s="118" t="s">
        <v>113</v>
      </c>
    </row>
    <row r="16" spans="1:18" ht="19.5" customHeight="1">
      <c r="E16" s="22"/>
      <c r="L16" s="108"/>
      <c r="M16" s="23"/>
      <c r="R16" s="114" t="s">
        <v>99</v>
      </c>
    </row>
    <row r="17" spans="5:18" ht="19.5" thickBot="1">
      <c r="E17" s="22"/>
      <c r="F17" t="s">
        <v>34</v>
      </c>
      <c r="I17" s="23"/>
      <c r="L17" s="108"/>
      <c r="M17" s="23"/>
      <c r="R17" s="114" t="s">
        <v>100</v>
      </c>
    </row>
    <row r="18" spans="5:18" ht="19.5" thickBot="1">
      <c r="E18" s="22"/>
      <c r="F18" s="1">
        <v>13</v>
      </c>
      <c r="G18" s="17" t="s">
        <v>54</v>
      </c>
      <c r="H18" s="262" t="s">
        <v>35</v>
      </c>
      <c r="I18" s="263"/>
      <c r="L18" s="108"/>
      <c r="M18" s="23"/>
      <c r="R18" s="114" t="s">
        <v>101</v>
      </c>
    </row>
    <row r="19" spans="5:18" ht="19.5" thickBot="1">
      <c r="E19" s="22"/>
      <c r="F19" s="1">
        <v>14</v>
      </c>
      <c r="G19" s="128" t="s">
        <v>54</v>
      </c>
      <c r="H19" s="262" t="s">
        <v>36</v>
      </c>
      <c r="I19" s="263"/>
      <c r="L19" s="108"/>
      <c r="M19" s="23"/>
      <c r="R19" s="114" t="s">
        <v>102</v>
      </c>
    </row>
    <row r="20" spans="5:18" ht="19.5" thickBot="1">
      <c r="E20" s="22"/>
      <c r="F20" s="109">
        <v>15</v>
      </c>
      <c r="G20" s="110"/>
      <c r="H20" s="264" t="s">
        <v>37</v>
      </c>
      <c r="I20" s="265"/>
      <c r="L20" s="108"/>
      <c r="M20" s="23"/>
      <c r="R20" s="114" t="s">
        <v>103</v>
      </c>
    </row>
    <row r="21" spans="5:18" ht="19.5" thickBot="1">
      <c r="E21" s="22"/>
      <c r="F21" s="109">
        <v>16</v>
      </c>
      <c r="G21" s="110"/>
      <c r="H21" s="264" t="s">
        <v>38</v>
      </c>
      <c r="I21" s="265"/>
      <c r="L21" s="108"/>
      <c r="M21" s="23"/>
      <c r="R21" s="114" t="s">
        <v>104</v>
      </c>
    </row>
    <row r="22" spans="5:18" ht="18.75" customHeight="1" thickBot="1">
      <c r="E22" s="22"/>
      <c r="F22" s="1">
        <v>17</v>
      </c>
      <c r="G22" s="17" t="s">
        <v>54</v>
      </c>
      <c r="H22" s="262" t="str">
        <f>IF(K4=1,"施設機能強化推進費加算","【適用不可】施設機能強化推進費加算")</f>
        <v>施設機能強化推進費加算</v>
      </c>
      <c r="I22" s="263"/>
      <c r="L22" s="108"/>
      <c r="M22" s="23"/>
      <c r="R22" s="114" t="s">
        <v>105</v>
      </c>
    </row>
    <row r="23" spans="5:18" ht="19.5" thickBot="1">
      <c r="F23" s="1">
        <v>18</v>
      </c>
      <c r="G23" s="17" t="s">
        <v>54</v>
      </c>
      <c r="H23" s="77" t="s">
        <v>249</v>
      </c>
      <c r="I23" s="78" t="s">
        <v>82</v>
      </c>
      <c r="L23" t="s">
        <v>130</v>
      </c>
      <c r="R23" s="114" t="s">
        <v>106</v>
      </c>
    </row>
    <row r="24" spans="5:18" ht="19.5" thickBot="1">
      <c r="F24" s="1">
        <v>19</v>
      </c>
      <c r="G24" s="17"/>
      <c r="H24" s="262" t="s">
        <v>39</v>
      </c>
      <c r="I24" s="263"/>
      <c r="M24" s="45">
        <f>②児童名簿!Q15</f>
        <v>2</v>
      </c>
      <c r="R24" s="114" t="s">
        <v>107</v>
      </c>
    </row>
    <row r="25" spans="5:18" ht="18.75" customHeight="1">
      <c r="R25" s="114" t="s">
        <v>108</v>
      </c>
    </row>
    <row r="26" spans="5:18">
      <c r="R26" s="114" t="s">
        <v>109</v>
      </c>
    </row>
    <row r="27" spans="5:18">
      <c r="R27" s="114" t="s">
        <v>110</v>
      </c>
    </row>
    <row r="28" spans="5:18">
      <c r="R28" s="114" t="s">
        <v>111</v>
      </c>
    </row>
    <row r="29" spans="5:18">
      <c r="R29" s="114" t="s">
        <v>112</v>
      </c>
    </row>
  </sheetData>
  <mergeCells count="18">
    <mergeCell ref="C13:D13"/>
    <mergeCell ref="C14:D14"/>
    <mergeCell ref="C15:D15"/>
    <mergeCell ref="H11:I11"/>
    <mergeCell ref="A6:G6"/>
    <mergeCell ref="A3:D3"/>
    <mergeCell ref="A1:I1"/>
    <mergeCell ref="C9:D9"/>
    <mergeCell ref="C10:D10"/>
    <mergeCell ref="H10:I10"/>
    <mergeCell ref="H9:I9"/>
    <mergeCell ref="H19:I19"/>
    <mergeCell ref="H15:I15"/>
    <mergeCell ref="H22:I22"/>
    <mergeCell ref="H24:I24"/>
    <mergeCell ref="H20:I20"/>
    <mergeCell ref="H21:I21"/>
    <mergeCell ref="H18:I18"/>
  </mergeCells>
  <phoneticPr fontId="1"/>
  <dataValidations count="5">
    <dataValidation type="list" allowBlank="1" showInputMessage="1" showErrorMessage="1" sqref="B9:B15 G15 G18:G24 G9:G12">
      <formula1>"〇"</formula1>
    </dataValidation>
    <dataValidation type="whole" allowBlank="1" showInputMessage="1" showErrorMessage="1" sqref="C11">
      <formula1>1</formula1>
      <formula2>L14</formula2>
    </dataValidation>
    <dataValidation type="list" allowBlank="1" showInputMessage="1" showErrorMessage="1" sqref="H23">
      <formula1>"A,B,C"</formula1>
    </dataValidation>
    <dataValidation type="list" allowBlank="1" showInputMessage="1" showErrorMessage="1" sqref="H12">
      <formula1>"1日,2日,3日,全日"</formula1>
    </dataValidation>
    <dataValidation type="list" allowBlank="1" showInputMessage="1" showErrorMessage="1" sqref="C12">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4"/>
  <sheetViews>
    <sheetView view="pageBreakPreview" topLeftCell="A25" zoomScale="130" zoomScaleNormal="130" zoomScaleSheetLayoutView="130" workbookViewId="0">
      <selection activeCell="M29" sqref="M29"/>
    </sheetView>
  </sheetViews>
  <sheetFormatPr defaultRowHeight="18.75"/>
  <cols>
    <col min="1" max="1" width="0.625" customWidth="1"/>
    <col min="2" max="3" width="3.375" style="42" customWidth="1"/>
    <col min="4" max="4" width="8.125" style="42" customWidth="1"/>
    <col min="5" max="5" width="1.75" customWidth="1"/>
    <col min="6" max="7" width="3.375" style="42" customWidth="1"/>
    <col min="8" max="8" width="8.125" style="42" customWidth="1"/>
    <col min="9" max="9" width="0.625" customWidth="1"/>
    <col min="10" max="10" width="3" customWidth="1"/>
    <col min="15" max="15" width="9" customWidth="1"/>
    <col min="16" max="16" width="3.25" customWidth="1"/>
  </cols>
  <sheetData>
    <row r="1" spans="1:16" ht="19.5">
      <c r="B1" s="278" t="str">
        <f>①基本情報!A1</f>
        <v>教育・保育給付に係る加算等確認表（小規模保育事業A型)</v>
      </c>
      <c r="C1" s="278"/>
      <c r="D1" s="278"/>
      <c r="E1" s="278"/>
      <c r="F1" s="278"/>
      <c r="G1" s="278"/>
      <c r="H1" s="278"/>
      <c r="I1" s="278"/>
      <c r="J1" s="278"/>
      <c r="K1" s="278"/>
      <c r="L1" s="278"/>
      <c r="M1" s="278"/>
      <c r="N1" s="278"/>
      <c r="O1" s="4"/>
    </row>
    <row r="2" spans="1:16" s="4" customFormat="1" ht="15.75">
      <c r="B2" s="61"/>
      <c r="C2" s="61"/>
      <c r="D2" s="61"/>
      <c r="F2" s="61"/>
      <c r="G2" s="61"/>
      <c r="H2" s="61"/>
      <c r="O2" s="169">
        <f>改修履歴!A1</f>
        <v>0.99</v>
      </c>
    </row>
    <row r="3" spans="1:16" s="4" customFormat="1" ht="19.5" customHeight="1" thickBot="1">
      <c r="B3" s="283" t="s">
        <v>23</v>
      </c>
      <c r="C3" s="283"/>
      <c r="D3" s="283"/>
      <c r="E3" s="283"/>
      <c r="F3" s="283"/>
      <c r="N3" s="284" t="s">
        <v>162</v>
      </c>
      <c r="O3" s="284"/>
    </row>
    <row r="4" spans="1:16" s="4" customFormat="1" ht="19.5" customHeight="1" thickBot="1">
      <c r="B4" s="275" t="str">
        <f>①基本情報!A7</f>
        <v>記載例小規模保育園</v>
      </c>
      <c r="C4" s="276"/>
      <c r="D4" s="276"/>
      <c r="E4" s="276"/>
      <c r="F4" s="276"/>
      <c r="G4" s="276"/>
      <c r="H4" s="276"/>
      <c r="I4" s="276"/>
      <c r="J4" s="276"/>
      <c r="K4" s="277"/>
      <c r="L4" s="104"/>
      <c r="M4" s="79"/>
      <c r="N4" s="273">
        <f>①基本情報!A4</f>
        <v>45017</v>
      </c>
      <c r="O4" s="274"/>
    </row>
    <row r="5" spans="1:16" s="4" customFormat="1" ht="15.75">
      <c r="B5" s="61"/>
      <c r="C5" s="61"/>
      <c r="D5" s="61"/>
      <c r="F5" s="61"/>
      <c r="G5" s="61"/>
      <c r="H5" s="61"/>
    </row>
    <row r="6" spans="1:16" s="4" customFormat="1" ht="16.5" thickBot="1">
      <c r="B6" s="61"/>
      <c r="C6" s="61"/>
      <c r="D6" s="61"/>
      <c r="F6" s="61"/>
      <c r="G6" s="61"/>
      <c r="H6" s="61"/>
    </row>
    <row r="7" spans="1:16" s="4" customFormat="1" ht="16.5" thickBot="1">
      <c r="A7" s="279" t="s">
        <v>73</v>
      </c>
      <c r="B7" s="280"/>
      <c r="C7" s="280"/>
      <c r="D7" s="280"/>
      <c r="E7" s="280"/>
      <c r="F7" s="280"/>
      <c r="G7" s="280"/>
      <c r="H7" s="280"/>
      <c r="I7" s="281"/>
      <c r="K7" s="272" t="s">
        <v>159</v>
      </c>
      <c r="L7" s="272"/>
      <c r="M7" s="272"/>
      <c r="N7" s="272"/>
      <c r="O7" s="272"/>
    </row>
    <row r="8" spans="1:16" s="4" customFormat="1" ht="17.25" thickBot="1">
      <c r="A8" s="83"/>
      <c r="B8" s="82"/>
      <c r="C8" s="10"/>
      <c r="D8" s="10"/>
      <c r="E8" s="79"/>
      <c r="F8" s="82"/>
      <c r="G8" s="10"/>
      <c r="H8" s="10"/>
      <c r="I8" s="84"/>
      <c r="K8" s="282" t="str">
        <f>"常勤 "&amp;③職員名簿!Z28&amp;" 人+ 非常勤常勤換算 "&amp;③職員名簿!AB29&amp;"人"</f>
        <v>常勤 2 人+ 非常勤常勤換算 4人</v>
      </c>
      <c r="L8" s="282"/>
      <c r="M8" s="282"/>
      <c r="N8" s="99" t="s">
        <v>77</v>
      </c>
      <c r="O8" s="71">
        <f>③職員名簿!Z28+③職員名簿!AB29</f>
        <v>6</v>
      </c>
      <c r="P8" s="4" t="s">
        <v>72</v>
      </c>
    </row>
    <row r="9" spans="1:16" s="4" customFormat="1" ht="15.75">
      <c r="A9" s="83"/>
      <c r="B9" s="63" t="str">
        <f>IF(①基本情報!J4="","",①基本情報!J4)</f>
        <v>〇</v>
      </c>
      <c r="C9" s="75">
        <v>1</v>
      </c>
      <c r="D9" s="285" t="s">
        <v>134</v>
      </c>
      <c r="E9" s="285"/>
      <c r="F9" s="285"/>
      <c r="G9" s="285"/>
      <c r="H9" s="285"/>
      <c r="I9" s="84"/>
      <c r="O9" s="4" t="str">
        <f>IF(O8-M18&lt;=0,"NG","")</f>
        <v/>
      </c>
    </row>
    <row r="10" spans="1:16" s="4" customFormat="1" ht="15.75">
      <c r="A10" s="83"/>
      <c r="B10" s="63" t="str">
        <f>IF(①基本情報!J5="","",①基本情報!J5)</f>
        <v/>
      </c>
      <c r="C10" s="75">
        <v>2</v>
      </c>
      <c r="D10" s="285" t="s">
        <v>135</v>
      </c>
      <c r="E10" s="285"/>
      <c r="F10" s="285"/>
      <c r="G10" s="285"/>
      <c r="H10" s="285"/>
      <c r="I10" s="84"/>
      <c r="K10" s="271" t="s">
        <v>70</v>
      </c>
      <c r="L10" s="271"/>
      <c r="M10" s="271"/>
      <c r="N10" s="102"/>
    </row>
    <row r="11" spans="1:16" s="4" customFormat="1" ht="15.75">
      <c r="A11" s="83"/>
      <c r="B11" s="63" t="str">
        <f>IF(①基本情報!J6="","",①基本情報!J6)</f>
        <v/>
      </c>
      <c r="C11" s="75">
        <v>3</v>
      </c>
      <c r="D11" s="285" t="s">
        <v>136</v>
      </c>
      <c r="E11" s="285"/>
      <c r="F11" s="285"/>
      <c r="G11" s="285"/>
      <c r="H11" s="285"/>
      <c r="I11" s="84"/>
      <c r="K11" s="44"/>
      <c r="L11" s="44" t="s">
        <v>49</v>
      </c>
      <c r="M11" s="44" t="s">
        <v>50</v>
      </c>
    </row>
    <row r="12" spans="1:16" s="4" customFormat="1" ht="15.75" customHeight="1">
      <c r="A12" s="83"/>
      <c r="B12" s="63" t="str">
        <f>IF(①基本情報!J7="","",①基本情報!J7)</f>
        <v>〇</v>
      </c>
      <c r="C12" s="75">
        <v>4</v>
      </c>
      <c r="D12" s="285" t="s">
        <v>138</v>
      </c>
      <c r="E12" s="285"/>
      <c r="F12" s="285"/>
      <c r="G12" s="285"/>
      <c r="H12" s="285"/>
      <c r="I12" s="84"/>
      <c r="K12" s="44" t="s">
        <v>47</v>
      </c>
      <c r="L12" s="11">
        <f>②児童名簿!K11</f>
        <v>2</v>
      </c>
      <c r="M12" s="64">
        <f>ROUNDDOWN(L12/3,1)</f>
        <v>0.6</v>
      </c>
      <c r="N12" s="4" t="s">
        <v>72</v>
      </c>
    </row>
    <row r="13" spans="1:16" s="4" customFormat="1" ht="15.75">
      <c r="A13" s="83"/>
      <c r="B13" s="63" t="str">
        <f>IF(①基本情報!J8="","",①基本情報!J8)</f>
        <v>〇</v>
      </c>
      <c r="C13" s="100">
        <v>5</v>
      </c>
      <c r="D13" s="285" t="s">
        <v>137</v>
      </c>
      <c r="E13" s="285"/>
      <c r="F13" s="285"/>
      <c r="G13" s="285"/>
      <c r="H13" s="285"/>
      <c r="I13" s="84"/>
      <c r="K13" s="44" t="s">
        <v>52</v>
      </c>
      <c r="L13" s="11">
        <f>②児童名簿!L11+②児童名簿!M11</f>
        <v>15</v>
      </c>
      <c r="M13" s="64">
        <f>ROUNDDOWN(L13/6,1)</f>
        <v>2.5</v>
      </c>
      <c r="N13" s="4" t="s">
        <v>72</v>
      </c>
    </row>
    <row r="14" spans="1:16" s="4" customFormat="1" ht="15.75">
      <c r="A14" s="83"/>
      <c r="B14" s="10"/>
      <c r="C14" s="10" t="str">
        <f>IF(D14&gt;=2,"OK","")</f>
        <v/>
      </c>
      <c r="D14" s="80"/>
      <c r="E14" s="81"/>
      <c r="F14" s="66"/>
      <c r="G14" s="10"/>
      <c r="H14" s="67">
        <f>①基本情報!N2</f>
        <v>3</v>
      </c>
      <c r="I14" s="84"/>
      <c r="K14" s="44" t="s">
        <v>48</v>
      </c>
      <c r="L14" s="11">
        <f>②児童名簿!N11</f>
        <v>0</v>
      </c>
      <c r="M14" s="64">
        <f>IF(B22="〇",ROUNDDOWN(L14/15,1),ROUNDDOWN(L14/20,1))</f>
        <v>0</v>
      </c>
      <c r="N14" s="4" t="s">
        <v>72</v>
      </c>
    </row>
    <row r="15" spans="1:16" s="4" customFormat="1" ht="16.5" thickBot="1">
      <c r="A15" s="85"/>
      <c r="B15" s="86"/>
      <c r="C15" s="86"/>
      <c r="D15" s="87"/>
      <c r="E15" s="88"/>
      <c r="F15" s="89"/>
      <c r="G15" s="86"/>
      <c r="H15" s="90"/>
      <c r="I15" s="91"/>
      <c r="K15" s="44" t="s">
        <v>53</v>
      </c>
      <c r="L15" s="11">
        <f>②児童名簿!O11+②児童名簿!P11</f>
        <v>0</v>
      </c>
      <c r="M15" s="68">
        <f>ROUNDDOWN(L15/30,1)</f>
        <v>0</v>
      </c>
      <c r="N15" s="4" t="s">
        <v>72</v>
      </c>
    </row>
    <row r="16" spans="1:16" s="4" customFormat="1" ht="16.5" thickBot="1">
      <c r="B16" s="10"/>
      <c r="C16" s="10"/>
      <c r="D16" s="80"/>
      <c r="E16" s="81"/>
      <c r="F16" s="66"/>
      <c r="G16" s="66"/>
      <c r="H16" s="67"/>
      <c r="K16" s="130"/>
      <c r="L16" s="65" t="s">
        <v>51</v>
      </c>
      <c r="M16" s="70">
        <f>SUM(M12:M15)</f>
        <v>3.1</v>
      </c>
      <c r="N16" s="4" t="s">
        <v>72</v>
      </c>
      <c r="O16" s="79"/>
    </row>
    <row r="17" spans="1:16" s="4" customFormat="1" ht="19.5" customHeight="1" thickBot="1">
      <c r="A17" s="289" t="s">
        <v>71</v>
      </c>
      <c r="B17" s="290"/>
      <c r="C17" s="290"/>
      <c r="D17" s="290"/>
      <c r="E17" s="290"/>
      <c r="F17" s="290"/>
      <c r="G17" s="290"/>
      <c r="H17" s="290"/>
      <c r="I17" s="291"/>
      <c r="K17" s="131"/>
      <c r="M17" s="152" t="s">
        <v>171</v>
      </c>
    </row>
    <row r="18" spans="1:16" s="4" customFormat="1" ht="16.5" thickBot="1">
      <c r="A18" s="83"/>
      <c r="B18" s="82" t="s">
        <v>40</v>
      </c>
      <c r="C18" s="10"/>
      <c r="D18" s="10"/>
      <c r="E18" s="69"/>
      <c r="F18" s="82" t="s">
        <v>32</v>
      </c>
      <c r="G18" s="10"/>
      <c r="H18" s="10"/>
      <c r="I18" s="84"/>
      <c r="M18" s="70">
        <f>ROUND(M16+1,0)</f>
        <v>4</v>
      </c>
      <c r="N18" s="4" t="s">
        <v>72</v>
      </c>
      <c r="O18" s="70">
        <f>O8-M18</f>
        <v>2</v>
      </c>
      <c r="P18" s="4" t="s">
        <v>72</v>
      </c>
    </row>
    <row r="19" spans="1:16" s="4" customFormat="1" ht="15.75">
      <c r="A19" s="83"/>
      <c r="B19" s="63" t="str">
        <f>IF(④加算!B9="","",④加算!B9)</f>
        <v>〇</v>
      </c>
      <c r="C19" s="75">
        <v>1</v>
      </c>
      <c r="D19" s="75" t="s">
        <v>65</v>
      </c>
      <c r="E19" s="69"/>
      <c r="F19" s="63" t="str">
        <f>IF(④加算!G9="","",④加算!G9)</f>
        <v/>
      </c>
      <c r="G19" s="75"/>
      <c r="H19" s="75" t="s">
        <v>145</v>
      </c>
      <c r="I19" s="84"/>
      <c r="K19" s="288"/>
      <c r="L19" s="288"/>
    </row>
    <row r="20" spans="1:16" s="4" customFormat="1" ht="15.75">
      <c r="A20" s="83"/>
      <c r="B20" s="63" t="str">
        <f>IF(④加算!B10="","",④加算!B10)</f>
        <v/>
      </c>
      <c r="C20" s="75">
        <v>2</v>
      </c>
      <c r="D20" s="75" t="s">
        <v>139</v>
      </c>
      <c r="E20" s="69"/>
      <c r="F20" s="63" t="str">
        <f>IF(④加算!G10="","",④加算!G10)</f>
        <v/>
      </c>
      <c r="G20" s="75"/>
      <c r="H20" s="75" t="s">
        <v>146</v>
      </c>
      <c r="I20" s="84"/>
      <c r="K20" s="288" t="s">
        <v>92</v>
      </c>
      <c r="L20" s="288"/>
      <c r="M20" s="112" t="str">
        <f>IF(O18&gt;=0,"満たしている","満たしていない")</f>
        <v>満たしている</v>
      </c>
      <c r="N20" s="131"/>
    </row>
    <row r="21" spans="1:16" s="4" customFormat="1" ht="15.75">
      <c r="A21" s="83"/>
      <c r="B21" s="63">
        <f>IF(④加算!B11="","",④加算!C11)</f>
        <v>2</v>
      </c>
      <c r="C21" s="75">
        <v>3</v>
      </c>
      <c r="D21" s="75" t="s">
        <v>140</v>
      </c>
      <c r="E21" s="69"/>
      <c r="F21" s="63" t="str">
        <f>IF(④加算!G11="","",④加算!G11)</f>
        <v/>
      </c>
      <c r="G21" s="75"/>
      <c r="H21" s="75" t="s">
        <v>147</v>
      </c>
      <c r="I21" s="84"/>
      <c r="K21" s="131"/>
      <c r="L21" s="131"/>
      <c r="M21" s="131"/>
      <c r="N21" s="131"/>
    </row>
    <row r="22" spans="1:16" s="4" customFormat="1" ht="15.75">
      <c r="A22" s="83"/>
      <c r="B22" s="63" t="str">
        <f>IF(④加算!B12="","",④加算!C12)</f>
        <v/>
      </c>
      <c r="C22" s="75">
        <v>4</v>
      </c>
      <c r="D22" s="75" t="s">
        <v>141</v>
      </c>
      <c r="E22" s="69"/>
      <c r="F22" s="63" t="str">
        <f>IF(④加算!G12="","",④加算!H12)</f>
        <v/>
      </c>
      <c r="G22" s="122"/>
      <c r="H22" s="122" t="s">
        <v>81</v>
      </c>
      <c r="I22" s="84"/>
    </row>
    <row r="23" spans="1:16" s="4" customFormat="1" ht="15.75">
      <c r="A23" s="83"/>
      <c r="B23" s="63" t="str">
        <f>IF(④加算!B13="","",④加算!B13)</f>
        <v/>
      </c>
      <c r="C23" s="75">
        <v>5</v>
      </c>
      <c r="D23" s="75" t="s">
        <v>142</v>
      </c>
      <c r="E23" s="69"/>
      <c r="F23" s="10"/>
      <c r="G23" s="10"/>
      <c r="H23" s="10"/>
      <c r="I23" s="84"/>
      <c r="K23" s="293" t="s">
        <v>91</v>
      </c>
      <c r="L23" s="294"/>
      <c r="M23" s="294"/>
    </row>
    <row r="24" spans="1:16" s="4" customFormat="1" ht="15.75">
      <c r="A24" s="83"/>
      <c r="B24" s="63" t="str">
        <f>IF(④加算!B14="","",④加算!B14)</f>
        <v/>
      </c>
      <c r="C24" s="75">
        <v>6</v>
      </c>
      <c r="D24" s="75" t="s">
        <v>143</v>
      </c>
      <c r="E24" s="69"/>
      <c r="F24" s="82" t="s">
        <v>33</v>
      </c>
      <c r="G24" s="10"/>
      <c r="H24" s="10"/>
      <c r="I24" s="84"/>
      <c r="K24" s="292" t="s">
        <v>83</v>
      </c>
      <c r="L24" s="292"/>
      <c r="M24" s="101">
        <f>IF(B10="〇",1,0)</f>
        <v>0</v>
      </c>
      <c r="N24" s="4" t="s">
        <v>72</v>
      </c>
    </row>
    <row r="25" spans="1:16" s="4" customFormat="1" ht="15.75">
      <c r="A25" s="83"/>
      <c r="B25" s="63" t="str">
        <f>IF(④加算!B15="","",④加算!B15)</f>
        <v>〇</v>
      </c>
      <c r="C25" s="75">
        <v>7</v>
      </c>
      <c r="D25" s="75" t="s">
        <v>144</v>
      </c>
      <c r="E25" s="69"/>
      <c r="F25" s="63" t="str">
        <f>IF(④加算!G15="","",④加算!G15)</f>
        <v/>
      </c>
      <c r="G25" s="122"/>
      <c r="H25" s="122" t="s">
        <v>148</v>
      </c>
      <c r="I25" s="84"/>
      <c r="M25" s="132"/>
    </row>
    <row r="26" spans="1:16" s="4" customFormat="1" ht="16.5" thickBot="1">
      <c r="A26" s="83"/>
      <c r="B26" s="10"/>
      <c r="C26" s="10"/>
      <c r="D26" s="10"/>
      <c r="E26" s="69"/>
      <c r="F26" s="10"/>
      <c r="G26" s="10"/>
      <c r="H26" s="10"/>
      <c r="I26" s="84"/>
      <c r="K26" s="141" t="s">
        <v>173</v>
      </c>
    </row>
    <row r="27" spans="1:16" s="4" customFormat="1" ht="16.5" thickBot="1">
      <c r="A27" s="83"/>
      <c r="B27" s="10"/>
      <c r="C27" s="10"/>
      <c r="D27" s="10"/>
      <c r="E27" s="69"/>
      <c r="F27" s="82" t="s">
        <v>34</v>
      </c>
      <c r="G27" s="10"/>
      <c r="H27" s="10"/>
      <c r="I27" s="84"/>
      <c r="K27" s="287" t="s">
        <v>174</v>
      </c>
      <c r="L27" s="287"/>
      <c r="M27" s="101" t="str">
        <f>IF(③職員名簿!AE13=1,"OK","NG")</f>
        <v>OK</v>
      </c>
      <c r="N27" s="139">
        <f>IF(COUNTIF(M27,"OK")=1,1,0)</f>
        <v>1</v>
      </c>
      <c r="O27" s="70">
        <f>O18-M24</f>
        <v>2</v>
      </c>
      <c r="P27" s="4" t="s">
        <v>72</v>
      </c>
    </row>
    <row r="28" spans="1:16" s="4" customFormat="1" ht="18.75" customHeight="1">
      <c r="A28" s="83"/>
      <c r="B28" s="10"/>
      <c r="C28" s="10"/>
      <c r="D28" s="10"/>
      <c r="E28" s="69"/>
      <c r="F28" s="63" t="str">
        <f>IF(④加算!G18="","",④加算!G18)</f>
        <v>〇</v>
      </c>
      <c r="G28" s="122">
        <v>24</v>
      </c>
      <c r="H28" s="122" t="s">
        <v>66</v>
      </c>
      <c r="I28" s="84"/>
      <c r="J28" s="158"/>
      <c r="K28" s="295" t="s">
        <v>175</v>
      </c>
      <c r="L28" s="295"/>
      <c r="M28" s="157"/>
    </row>
    <row r="29" spans="1:16" s="4" customFormat="1" ht="15.75">
      <c r="A29" s="83"/>
      <c r="B29" s="10"/>
      <c r="C29" s="10"/>
      <c r="D29" s="10"/>
      <c r="E29" s="69"/>
      <c r="F29" s="63" t="str">
        <f>IF(④加算!G19="","",④加算!G19)</f>
        <v>〇</v>
      </c>
      <c r="G29" s="122">
        <v>25</v>
      </c>
      <c r="H29" s="122" t="s">
        <v>67</v>
      </c>
      <c r="I29" s="84"/>
      <c r="J29" s="158"/>
      <c r="K29" s="296"/>
      <c r="L29" s="296"/>
      <c r="M29" s="112" t="str">
        <f>IF($O$27&gt;=0,IF(N27=1,"満たしている","満たしていない"),"満たしていない")</f>
        <v>満たしている</v>
      </c>
    </row>
    <row r="30" spans="1:16" s="4" customFormat="1" ht="16.5" customHeight="1">
      <c r="A30" s="83"/>
      <c r="B30" s="10"/>
      <c r="C30" s="10"/>
      <c r="D30" s="10"/>
      <c r="E30" s="69"/>
      <c r="F30" s="111" t="str">
        <f>IF(④加算!G20="","",④加算!G20)</f>
        <v/>
      </c>
      <c r="G30" s="111">
        <v>31</v>
      </c>
      <c r="H30" s="111" t="s">
        <v>68</v>
      </c>
      <c r="I30" s="84"/>
    </row>
    <row r="31" spans="1:16" s="4" customFormat="1" ht="15.75">
      <c r="A31" s="83"/>
      <c r="B31" s="10"/>
      <c r="C31" s="10"/>
      <c r="D31" s="10"/>
      <c r="E31" s="69"/>
      <c r="F31" s="111" t="str">
        <f>IF(④加算!G21="","",④加算!G21)</f>
        <v/>
      </c>
      <c r="G31" s="111">
        <v>32</v>
      </c>
      <c r="H31" s="111" t="s">
        <v>69</v>
      </c>
      <c r="I31" s="84"/>
    </row>
    <row r="32" spans="1:16" s="4" customFormat="1" ht="15" customHeight="1">
      <c r="A32" s="83"/>
      <c r="B32" s="10"/>
      <c r="C32" s="10"/>
      <c r="D32" s="10"/>
      <c r="E32" s="69"/>
      <c r="F32" s="63" t="str">
        <f>IF(④加算!G22="","",④加算!G22)</f>
        <v>〇</v>
      </c>
      <c r="G32" s="122">
        <v>28</v>
      </c>
      <c r="H32" s="122" t="s">
        <v>80</v>
      </c>
      <c r="I32" s="84"/>
      <c r="K32" s="143" t="s">
        <v>165</v>
      </c>
      <c r="L32" s="142"/>
      <c r="M32" s="142"/>
      <c r="N32" s="138"/>
    </row>
    <row r="33" spans="1:16" s="4" customFormat="1" ht="15.75">
      <c r="A33" s="83"/>
      <c r="B33" s="10"/>
      <c r="C33" s="10"/>
      <c r="D33" s="10"/>
      <c r="E33" s="79"/>
      <c r="F33" s="63" t="str">
        <f>IF(④加算!G23="","",④加算!H23)</f>
        <v>B</v>
      </c>
      <c r="G33" s="122">
        <v>29</v>
      </c>
      <c r="H33" s="122" t="s">
        <v>78</v>
      </c>
      <c r="I33" s="84"/>
      <c r="K33" s="122"/>
      <c r="L33" s="122" t="s">
        <v>49</v>
      </c>
      <c r="M33" s="122" t="s">
        <v>50</v>
      </c>
    </row>
    <row r="34" spans="1:16" s="4" customFormat="1" ht="15.75">
      <c r="A34" s="83"/>
      <c r="B34" s="10"/>
      <c r="C34" s="10"/>
      <c r="D34" s="10"/>
      <c r="E34" s="79"/>
      <c r="F34" s="63" t="str">
        <f>IF(④加算!G24="","",④加算!G24)</f>
        <v/>
      </c>
      <c r="G34" s="122">
        <v>30</v>
      </c>
      <c r="H34" s="122" t="s">
        <v>79</v>
      </c>
      <c r="I34" s="84"/>
      <c r="K34" s="122" t="s">
        <v>47</v>
      </c>
      <c r="L34" s="11">
        <f>②児童名簿!K19</f>
        <v>2</v>
      </c>
      <c r="M34" s="64">
        <f>ROUNDDOWN(L34/3,1)</f>
        <v>0.6</v>
      </c>
      <c r="N34" s="4" t="s">
        <v>72</v>
      </c>
    </row>
    <row r="35" spans="1:16" s="4" customFormat="1" ht="15.75">
      <c r="A35" s="83"/>
      <c r="B35" s="10"/>
      <c r="C35" s="10"/>
      <c r="D35" s="10"/>
      <c r="E35" s="79"/>
      <c r="F35" s="10"/>
      <c r="G35" s="10"/>
      <c r="H35" s="10"/>
      <c r="I35" s="84"/>
      <c r="K35" s="122" t="s">
        <v>52</v>
      </c>
      <c r="L35" s="11">
        <f>②児童名簿!L19+②児童名簿!M19</f>
        <v>13</v>
      </c>
      <c r="M35" s="64">
        <f>ROUNDDOWN(L35/6,1)</f>
        <v>2.1</v>
      </c>
      <c r="N35" s="4" t="s">
        <v>72</v>
      </c>
    </row>
    <row r="36" spans="1:16" s="4" customFormat="1" ht="15.75">
      <c r="A36" s="83"/>
      <c r="B36" s="10"/>
      <c r="C36" s="10"/>
      <c r="D36" s="10"/>
      <c r="E36" s="79"/>
      <c r="F36" s="10"/>
      <c r="G36" s="10"/>
      <c r="H36" s="10"/>
      <c r="I36" s="84"/>
      <c r="K36" s="122" t="s">
        <v>48</v>
      </c>
      <c r="L36" s="11">
        <f>②児童名簿!N19</f>
        <v>0</v>
      </c>
      <c r="M36" s="64">
        <f>IF(B46="〇",ROUNDDOWN(L36/15,1),ROUNDDOWN(L36/20,1))</f>
        <v>0</v>
      </c>
      <c r="N36" s="4" t="s">
        <v>72</v>
      </c>
    </row>
    <row r="37" spans="1:16" s="4" customFormat="1" ht="16.5" thickBot="1">
      <c r="A37" s="85"/>
      <c r="B37" s="86"/>
      <c r="C37" s="86"/>
      <c r="D37" s="86"/>
      <c r="E37" s="92"/>
      <c r="F37" s="86"/>
      <c r="G37" s="86"/>
      <c r="H37" s="86"/>
      <c r="I37" s="91"/>
      <c r="K37" s="122" t="s">
        <v>53</v>
      </c>
      <c r="L37" s="11">
        <f>②児童名簿!O19+②児童名簿!P19</f>
        <v>0</v>
      </c>
      <c r="M37" s="64">
        <f>ROUNDDOWN(L37/30,1)</f>
        <v>0</v>
      </c>
      <c r="N37" s="4" t="s">
        <v>72</v>
      </c>
    </row>
    <row r="38" spans="1:16" s="4" customFormat="1" ht="15.75">
      <c r="A38" s="155"/>
      <c r="B38" s="10"/>
      <c r="C38" s="10"/>
      <c r="D38" s="10"/>
      <c r="E38" s="79"/>
      <c r="F38" s="10"/>
      <c r="G38" s="10"/>
      <c r="H38" s="10"/>
      <c r="I38" s="79"/>
      <c r="J38" s="79"/>
      <c r="K38" s="143" t="s">
        <v>177</v>
      </c>
      <c r="L38" s="144"/>
      <c r="M38" s="144"/>
      <c r="N38" s="138"/>
    </row>
    <row r="39" spans="1:16" s="4" customFormat="1" ht="15.75">
      <c r="A39" s="79"/>
      <c r="B39" s="10"/>
      <c r="C39" s="10"/>
      <c r="D39" s="10"/>
      <c r="E39" s="79"/>
      <c r="F39" s="10"/>
      <c r="G39" s="10"/>
      <c r="H39" s="10"/>
      <c r="I39" s="79"/>
      <c r="J39" s="79"/>
      <c r="K39" s="122"/>
      <c r="L39" s="122" t="s">
        <v>49</v>
      </c>
      <c r="M39" s="122" t="s">
        <v>50</v>
      </c>
    </row>
    <row r="40" spans="1:16" s="4" customFormat="1" ht="15.75">
      <c r="A40" s="79"/>
      <c r="B40" s="10"/>
      <c r="C40" s="10"/>
      <c r="D40" s="10"/>
      <c r="E40" s="79"/>
      <c r="F40" s="10"/>
      <c r="G40" s="10"/>
      <c r="H40" s="10"/>
      <c r="I40" s="79"/>
      <c r="J40" s="79"/>
      <c r="K40" s="122" t="s">
        <v>158</v>
      </c>
      <c r="L40" s="11">
        <f>④加算!$M$24</f>
        <v>2</v>
      </c>
      <c r="M40" s="68">
        <f>ROUNDDOWN(L40/2,1)</f>
        <v>1</v>
      </c>
      <c r="N40" s="4" t="s">
        <v>72</v>
      </c>
    </row>
    <row r="41" spans="1:16" s="4" customFormat="1" ht="15.75">
      <c r="A41" s="79"/>
      <c r="B41" s="10"/>
      <c r="C41" s="10"/>
      <c r="D41" s="10"/>
      <c r="E41" s="79"/>
      <c r="F41" s="10"/>
      <c r="G41" s="10"/>
      <c r="H41" s="10"/>
      <c r="I41" s="79"/>
      <c r="J41" s="79"/>
      <c r="L41" s="65" t="s">
        <v>3</v>
      </c>
      <c r="M41" s="140">
        <f>SUM(M34:M37,M40)</f>
        <v>3.7</v>
      </c>
      <c r="N41" s="4" t="s">
        <v>72</v>
      </c>
    </row>
    <row r="42" spans="1:16" s="4" customFormat="1" ht="15.75">
      <c r="A42" s="79"/>
      <c r="B42" s="10"/>
      <c r="C42" s="10"/>
      <c r="D42" s="154" t="s">
        <v>172</v>
      </c>
      <c r="E42" s="79"/>
      <c r="F42" s="10"/>
      <c r="G42" s="10"/>
      <c r="H42" s="10"/>
      <c r="I42" s="79"/>
      <c r="J42" s="79"/>
    </row>
    <row r="43" spans="1:16" s="4" customFormat="1" ht="15.75" customHeight="1">
      <c r="A43" s="79"/>
      <c r="B43" s="10"/>
      <c r="C43" s="10"/>
      <c r="D43" s="287" t="s">
        <v>155</v>
      </c>
      <c r="E43" s="287"/>
      <c r="F43" s="287"/>
      <c r="G43" s="287"/>
      <c r="H43" s="153" t="str">
        <f>IF(③職員名簿!AD11=1,"OK","NG")</f>
        <v>OK</v>
      </c>
      <c r="I43" s="79"/>
      <c r="J43" s="79"/>
      <c r="K43" s="297" t="s">
        <v>178</v>
      </c>
      <c r="L43" s="298"/>
      <c r="M43" s="140">
        <f>ROUND(M41+1,0)</f>
        <v>5</v>
      </c>
      <c r="N43" s="4" t="s">
        <v>72</v>
      </c>
    </row>
    <row r="44" spans="1:16" s="4" customFormat="1" ht="15.75" customHeight="1" thickBot="1">
      <c r="A44" s="79"/>
      <c r="B44" s="10"/>
      <c r="C44" s="10"/>
      <c r="D44" s="287" t="s">
        <v>156</v>
      </c>
      <c r="E44" s="287"/>
      <c r="F44" s="287"/>
      <c r="G44" s="287"/>
      <c r="H44" s="153" t="str">
        <f>IF(③職員名簿!AD14=1,"OK","NG")</f>
        <v>OK</v>
      </c>
      <c r="I44" s="79"/>
      <c r="J44" s="79"/>
    </row>
    <row r="45" spans="1:16" s="4" customFormat="1" ht="15.75" customHeight="1" thickBot="1">
      <c r="A45" s="79"/>
      <c r="B45" s="10"/>
      <c r="C45" s="156">
        <f>IF(COUNTIF(H43:H45,"OK")=3,1,0)</f>
        <v>1</v>
      </c>
      <c r="D45" s="287" t="s">
        <v>157</v>
      </c>
      <c r="E45" s="287"/>
      <c r="F45" s="287"/>
      <c r="G45" s="287"/>
      <c r="H45" s="153" t="str">
        <f>IF(③職員名簿!AD15=1,"OK","NG")</f>
        <v>OK</v>
      </c>
      <c r="I45" s="79"/>
      <c r="J45" s="79"/>
      <c r="K45" s="287" t="s">
        <v>126</v>
      </c>
      <c r="L45" s="233"/>
      <c r="M45" s="133">
        <f>M43-M18</f>
        <v>1</v>
      </c>
      <c r="N45" s="4" t="s">
        <v>72</v>
      </c>
      <c r="O45" s="70">
        <f>O27-M45</f>
        <v>1</v>
      </c>
      <c r="P45" s="4" t="s">
        <v>72</v>
      </c>
    </row>
    <row r="46" spans="1:16" s="4" customFormat="1" ht="15.75">
      <c r="A46" s="79"/>
      <c r="B46" s="10"/>
      <c r="C46" s="10"/>
      <c r="D46" s="10"/>
      <c r="E46" s="79"/>
      <c r="F46" s="10"/>
      <c r="G46" s="10"/>
      <c r="H46" s="10"/>
      <c r="I46" s="79"/>
      <c r="J46" s="79"/>
      <c r="K46" s="141" t="s">
        <v>161</v>
      </c>
    </row>
    <row r="47" spans="1:16" s="4" customFormat="1" ht="18.75" customHeight="1">
      <c r="A47" s="79"/>
      <c r="B47" s="10"/>
      <c r="C47" s="10"/>
      <c r="D47" s="10"/>
      <c r="E47" s="79"/>
      <c r="F47" s="10"/>
      <c r="G47" s="10"/>
      <c r="H47" s="10"/>
      <c r="K47" s="286" t="str">
        <f>IF(L40=0,"",IF($O$45&gt;=0,IF($N$27=1,"障害児保育加算　適用OK","障害児保育加算　適用不可（基本分）"),"障害児保育加算　適用不可（職員数）"))</f>
        <v>障害児保育加算　適用OK</v>
      </c>
      <c r="L47" s="286"/>
      <c r="M47" s="286"/>
    </row>
    <row r="48" spans="1:16" s="4" customFormat="1" ht="15.75">
      <c r="B48" s="61"/>
      <c r="C48" s="61"/>
      <c r="D48" s="61"/>
      <c r="F48" s="61"/>
      <c r="G48" s="61"/>
      <c r="H48" s="61"/>
    </row>
    <row r="49" spans="1:16" s="4" customFormat="1">
      <c r="B49" s="61"/>
      <c r="C49" s="61"/>
      <c r="D49" s="61"/>
      <c r="F49" s="61"/>
      <c r="G49" s="61"/>
      <c r="H49" s="61"/>
      <c r="J49"/>
    </row>
    <row r="50" spans="1:16">
      <c r="A50" s="4"/>
      <c r="B50" s="61"/>
      <c r="C50" s="61"/>
      <c r="D50" s="61"/>
      <c r="E50" s="4"/>
      <c r="F50" s="61"/>
      <c r="G50" s="61"/>
      <c r="H50" s="61"/>
      <c r="I50" s="4"/>
      <c r="K50" s="4"/>
      <c r="L50" s="4"/>
      <c r="M50" s="4"/>
      <c r="N50" s="4"/>
      <c r="O50" s="4"/>
      <c r="P50" s="4"/>
    </row>
    <row r="51" spans="1:16">
      <c r="B51" s="61"/>
      <c r="C51" s="61"/>
      <c r="D51" s="61"/>
      <c r="E51" s="4"/>
      <c r="F51" s="61"/>
      <c r="G51" s="61"/>
      <c r="H51" s="61"/>
      <c r="K51" s="4"/>
      <c r="L51" s="4"/>
      <c r="M51" s="4"/>
      <c r="N51" s="4"/>
      <c r="O51" s="4"/>
      <c r="P51" s="4"/>
    </row>
    <row r="52" spans="1:16">
      <c r="B52" s="61"/>
      <c r="C52" s="61"/>
      <c r="D52" s="61"/>
      <c r="E52" s="4"/>
      <c r="F52" s="61"/>
      <c r="G52" s="61"/>
      <c r="H52" s="61"/>
      <c r="K52" s="4"/>
      <c r="L52" s="4"/>
      <c r="M52" s="4"/>
      <c r="N52" s="4"/>
      <c r="O52" s="4"/>
      <c r="P52" s="4"/>
    </row>
    <row r="53" spans="1:16">
      <c r="B53" s="61"/>
      <c r="C53" s="61"/>
      <c r="D53" s="61"/>
      <c r="E53" s="4"/>
      <c r="F53" s="61"/>
      <c r="G53" s="61"/>
      <c r="H53" s="61"/>
      <c r="K53" s="4"/>
      <c r="L53" s="4"/>
      <c r="M53" s="4"/>
      <c r="N53" s="4"/>
      <c r="O53" s="4"/>
      <c r="P53" s="4"/>
    </row>
    <row r="54" spans="1:16">
      <c r="B54" s="61"/>
      <c r="C54" s="61"/>
      <c r="D54" s="61"/>
      <c r="E54" s="4"/>
      <c r="F54" s="61"/>
      <c r="G54" s="61"/>
      <c r="H54" s="61"/>
      <c r="K54" s="4"/>
      <c r="L54" s="4"/>
      <c r="M54" s="4"/>
      <c r="N54" s="4"/>
      <c r="O54" s="4"/>
      <c r="P54" s="4"/>
    </row>
    <row r="55" spans="1:16">
      <c r="B55" s="61"/>
      <c r="C55" s="61"/>
      <c r="D55" s="61"/>
      <c r="E55" s="4"/>
      <c r="F55" s="61"/>
      <c r="G55" s="61"/>
      <c r="H55" s="61"/>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P60" s="4"/>
    </row>
    <row r="61" spans="1:16">
      <c r="K61" s="4"/>
      <c r="L61" s="4"/>
      <c r="M61" s="4"/>
      <c r="N61" s="4"/>
      <c r="P61" s="4"/>
    </row>
    <row r="62" spans="1:16">
      <c r="K62" s="4"/>
      <c r="L62" s="4"/>
      <c r="M62" s="4"/>
      <c r="N62" s="4"/>
    </row>
    <row r="63" spans="1:16">
      <c r="K63" s="4"/>
      <c r="L63" s="4"/>
      <c r="M63" s="4"/>
      <c r="N63" s="4"/>
    </row>
    <row r="64" spans="1:16">
      <c r="N64" s="4"/>
    </row>
  </sheetData>
  <sheetProtection sheet="1" objects="1" scenarios="1"/>
  <mergeCells count="27">
    <mergeCell ref="K47:M47"/>
    <mergeCell ref="D11:H11"/>
    <mergeCell ref="D12:H12"/>
    <mergeCell ref="D13:H13"/>
    <mergeCell ref="K27:L27"/>
    <mergeCell ref="K20:L20"/>
    <mergeCell ref="A17:I17"/>
    <mergeCell ref="K24:L24"/>
    <mergeCell ref="K23:M23"/>
    <mergeCell ref="D45:G45"/>
    <mergeCell ref="K28:L29"/>
    <mergeCell ref="K43:L43"/>
    <mergeCell ref="K19:L19"/>
    <mergeCell ref="D43:G43"/>
    <mergeCell ref="D44:G44"/>
    <mergeCell ref="K45:L45"/>
    <mergeCell ref="K10:M10"/>
    <mergeCell ref="K7:O7"/>
    <mergeCell ref="N4:O4"/>
    <mergeCell ref="B4:K4"/>
    <mergeCell ref="B1:N1"/>
    <mergeCell ref="A7:I7"/>
    <mergeCell ref="K8:M8"/>
    <mergeCell ref="B3:F3"/>
    <mergeCell ref="N3:O3"/>
    <mergeCell ref="D9:H9"/>
    <mergeCell ref="D10:H10"/>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view="pageBreakPreview" zoomScaleNormal="100" zoomScaleSheetLayoutView="100" workbookViewId="0">
      <selection activeCell="A2" sqref="A2"/>
    </sheetView>
  </sheetViews>
  <sheetFormatPr defaultRowHeight="18.75"/>
  <sheetData>
    <row r="1" spans="1:1">
      <c r="A1" t="s">
        <v>211</v>
      </c>
    </row>
    <row r="21" spans="1:13">
      <c r="A21" s="105" t="s">
        <v>86</v>
      </c>
      <c r="B21" s="299" t="s">
        <v>167</v>
      </c>
      <c r="C21" s="299"/>
      <c r="D21" s="299"/>
      <c r="E21" s="299"/>
      <c r="F21" s="299"/>
      <c r="G21" s="299"/>
      <c r="H21" s="299"/>
      <c r="I21" s="299"/>
      <c r="J21" s="299"/>
      <c r="K21" s="299"/>
      <c r="L21" s="299"/>
      <c r="M21" s="299"/>
    </row>
    <row r="22" spans="1:13" ht="18.75" customHeight="1">
      <c r="A22" s="106" t="s">
        <v>87</v>
      </c>
      <c r="B22" s="299" t="s">
        <v>169</v>
      </c>
      <c r="C22" s="299"/>
      <c r="D22" s="299"/>
      <c r="E22" s="299"/>
      <c r="F22" s="299"/>
      <c r="G22" s="299"/>
      <c r="H22" s="299"/>
      <c r="I22" s="299"/>
      <c r="J22" s="299"/>
      <c r="K22" s="299"/>
      <c r="L22" s="299"/>
      <c r="M22" s="299"/>
    </row>
    <row r="23" spans="1:13" ht="18.75" customHeight="1">
      <c r="A23" s="106" t="s">
        <v>88</v>
      </c>
      <c r="B23" s="300" t="s">
        <v>115</v>
      </c>
      <c r="C23" s="300"/>
      <c r="D23" s="300"/>
      <c r="E23" s="300"/>
      <c r="F23" s="300"/>
      <c r="G23" s="300"/>
      <c r="H23" s="300"/>
      <c r="I23" s="300"/>
      <c r="J23" s="300"/>
      <c r="K23" s="300"/>
      <c r="L23" s="300"/>
      <c r="M23" s="300"/>
    </row>
    <row r="24" spans="1:13">
      <c r="A24" s="106" t="s">
        <v>168</v>
      </c>
      <c r="B24" s="150" t="s">
        <v>116</v>
      </c>
      <c r="C24" s="119"/>
      <c r="D24" s="119"/>
      <c r="E24" s="119"/>
      <c r="F24" s="119"/>
      <c r="G24" s="119"/>
      <c r="H24" s="119"/>
      <c r="I24" s="119"/>
      <c r="J24" s="119"/>
      <c r="K24" s="119"/>
      <c r="L24" s="119"/>
      <c r="M24" s="119"/>
    </row>
    <row r="25" spans="1:13">
      <c r="A25" s="106"/>
      <c r="B25" s="119"/>
      <c r="C25" s="119"/>
      <c r="D25" s="119"/>
      <c r="E25" s="119"/>
      <c r="F25" s="119"/>
      <c r="G25" s="119"/>
      <c r="H25" s="119"/>
      <c r="I25" s="119"/>
      <c r="J25" s="119"/>
      <c r="K25" s="119"/>
      <c r="L25" s="119"/>
      <c r="M25" s="119"/>
    </row>
    <row r="26" spans="1:13">
      <c r="M26" s="107" t="s">
        <v>89</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55"/>
  <sheetViews>
    <sheetView view="pageBreakPreview" zoomScale="55" zoomScaleNormal="55" zoomScaleSheetLayoutView="55" workbookViewId="0">
      <selection activeCell="A3" sqref="A3"/>
    </sheetView>
  </sheetViews>
  <sheetFormatPr defaultRowHeight="18.75"/>
  <cols>
    <col min="17" max="17" width="8.875" customWidth="1"/>
  </cols>
  <sheetData>
    <row r="1" spans="1:13" ht="18.75" customHeight="1">
      <c r="A1" s="301" t="s">
        <v>212</v>
      </c>
      <c r="B1" s="301"/>
      <c r="C1" s="301"/>
      <c r="D1" s="301"/>
      <c r="E1" s="301"/>
      <c r="F1" s="301"/>
      <c r="G1" s="301"/>
      <c r="H1" s="301"/>
      <c r="I1" s="301"/>
      <c r="J1" s="301"/>
      <c r="K1" s="301"/>
      <c r="L1" s="301"/>
      <c r="M1" s="301"/>
    </row>
    <row r="2" spans="1:13" ht="18.75" customHeight="1">
      <c r="A2" s="301"/>
      <c r="B2" s="301"/>
      <c r="C2" s="301"/>
      <c r="D2" s="301"/>
      <c r="E2" s="301"/>
      <c r="F2" s="301"/>
      <c r="G2" s="301"/>
      <c r="H2" s="301"/>
      <c r="I2" s="301"/>
      <c r="J2" s="301"/>
      <c r="K2" s="301"/>
      <c r="L2" s="301"/>
      <c r="M2" s="301"/>
    </row>
    <row r="3" spans="1:13" ht="18.75" customHeight="1">
      <c r="A3" s="123"/>
      <c r="B3" s="123"/>
      <c r="C3" s="123"/>
      <c r="D3" s="123"/>
      <c r="E3" s="123"/>
      <c r="F3" s="123"/>
      <c r="G3" s="123"/>
      <c r="H3" s="123"/>
      <c r="I3" s="123"/>
      <c r="J3" s="123"/>
      <c r="K3" s="123"/>
      <c r="L3" s="123"/>
      <c r="M3" s="123"/>
    </row>
    <row r="50" spans="1:31">
      <c r="A50" t="s">
        <v>166</v>
      </c>
    </row>
    <row r="55" spans="1:31">
      <c r="AE55" s="107" t="s">
        <v>90</v>
      </c>
    </row>
  </sheetData>
  <sheetProtection sheet="1" objects="1" scenarios="1"/>
  <mergeCells count="1">
    <mergeCell ref="A1:M2"/>
  </mergeCells>
  <phoneticPr fontId="1"/>
  <pageMargins left="0.7" right="0.7" top="0.75" bottom="0.75" header="0.3" footer="0.3"/>
  <pageSetup paperSize="9" scale="4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16"/>
  <sheetViews>
    <sheetView workbookViewId="0">
      <selection activeCell="C14" sqref="C14"/>
    </sheetView>
  </sheetViews>
  <sheetFormatPr defaultRowHeight="18.75"/>
  <cols>
    <col min="2" max="2" width="10.25" bestFit="1" customWidth="1"/>
    <col min="3" max="3" width="55.625" customWidth="1"/>
  </cols>
  <sheetData>
    <row r="1" spans="1:3" ht="26.25" thickBot="1">
      <c r="A1" s="302">
        <v>0.99</v>
      </c>
      <c r="B1" s="303"/>
      <c r="C1" s="165"/>
    </row>
    <row r="2" spans="1:3">
      <c r="A2" s="45" t="s">
        <v>96</v>
      </c>
      <c r="B2" s="45" t="s">
        <v>97</v>
      </c>
      <c r="C2" s="45" t="s">
        <v>98</v>
      </c>
    </row>
    <row r="3" spans="1:3">
      <c r="A3" s="183">
        <v>0.1</v>
      </c>
      <c r="B3" s="113">
        <v>44167</v>
      </c>
      <c r="C3" s="45" t="s">
        <v>176</v>
      </c>
    </row>
    <row r="4" spans="1:3">
      <c r="A4" s="183">
        <v>0.11</v>
      </c>
      <c r="B4" s="113">
        <v>44323</v>
      </c>
      <c r="C4" s="45" t="s">
        <v>197</v>
      </c>
    </row>
    <row r="5" spans="1:3">
      <c r="A5" s="183">
        <v>1</v>
      </c>
      <c r="B5" s="113">
        <v>44371</v>
      </c>
      <c r="C5" s="45" t="s">
        <v>210</v>
      </c>
    </row>
    <row r="6" spans="1:3">
      <c r="A6" s="183">
        <v>0</v>
      </c>
      <c r="B6" s="113">
        <v>44573</v>
      </c>
      <c r="C6" s="45" t="s">
        <v>199</v>
      </c>
    </row>
    <row r="7" spans="1:3">
      <c r="A7" s="183">
        <v>0.01</v>
      </c>
      <c r="B7" s="113">
        <v>44573</v>
      </c>
      <c r="C7" s="45" t="s">
        <v>206</v>
      </c>
    </row>
    <row r="8" spans="1:3">
      <c r="A8" s="183"/>
      <c r="B8" s="45"/>
      <c r="C8" s="45" t="s">
        <v>207</v>
      </c>
    </row>
    <row r="9" spans="1:3">
      <c r="A9" s="183">
        <v>0.2</v>
      </c>
      <c r="B9" s="113">
        <v>44649</v>
      </c>
      <c r="C9" s="45" t="s">
        <v>209</v>
      </c>
    </row>
    <row r="10" spans="1:3">
      <c r="A10" s="183">
        <v>0.99</v>
      </c>
      <c r="B10" s="113">
        <v>44656</v>
      </c>
      <c r="C10" s="45" t="s">
        <v>213</v>
      </c>
    </row>
    <row r="11" spans="1:3">
      <c r="A11" s="183"/>
      <c r="B11" s="113">
        <v>45096</v>
      </c>
      <c r="C11" s="204" t="s">
        <v>220</v>
      </c>
    </row>
    <row r="12" spans="1:3">
      <c r="A12" s="183"/>
      <c r="B12" s="113"/>
      <c r="C12" s="45"/>
    </row>
    <row r="13" spans="1:3">
      <c r="A13" s="183"/>
      <c r="B13" s="113"/>
      <c r="C13" s="45"/>
    </row>
    <row r="14" spans="1:3">
      <c r="A14" s="183"/>
      <c r="B14" s="113"/>
      <c r="C14" s="45"/>
    </row>
    <row r="15" spans="1:3">
      <c r="A15" s="183"/>
      <c r="B15" s="113"/>
      <c r="C15" s="45"/>
    </row>
    <row r="16" spans="1:3">
      <c r="A16" s="183"/>
      <c r="B16" s="113"/>
      <c r="C16" s="45"/>
    </row>
  </sheetData>
  <mergeCells count="1">
    <mergeCell ref="A1:B1"/>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2023-06-27T04:19:03Z</cp:lastPrinted>
  <dcterms:created xsi:type="dcterms:W3CDTF">2020-01-20T06:10:49Z</dcterms:created>
  <dcterms:modified xsi:type="dcterms:W3CDTF">2023-06-27T04:20:09Z</dcterms:modified>
</cp:coreProperties>
</file>