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New\令和06年度\03_入所・給付係\01_教育・保育給付\5_加算認定\1_加算率等認定申請\1_様式・記載例\"/>
    </mc:Choice>
  </mc:AlternateContent>
  <bookViews>
    <workbookView xWindow="0" yWindow="0" windowWidth="20175" windowHeight="7500" tabRatio="700"/>
  </bookViews>
  <sheets>
    <sheet name="①基本情報" sheetId="5" r:id="rId1"/>
    <sheet name="②児童名簿" sheetId="1" r:id="rId2"/>
    <sheet name="③職員名簿" sheetId="2" r:id="rId3"/>
    <sheet name="④加算" sheetId="3" r:id="rId4"/>
    <sheet name="⑤集計表" sheetId="4" r:id="rId5"/>
    <sheet name="⑥加配職員判定" sheetId="10" r:id="rId6"/>
    <sheet name="職員配置" sheetId="7" r:id="rId7"/>
    <sheet name="各加算の関係性" sheetId="11" r:id="rId8"/>
    <sheet name="改修履歴" sheetId="9" r:id="rId9"/>
  </sheets>
  <definedNames>
    <definedName name="_xlnm.Print_Area" localSheetId="0">①基本情報!$A$1:$H$28</definedName>
    <definedName name="_xlnm.Print_Area" localSheetId="1">②児童名簿!$A$1:$G$207</definedName>
    <definedName name="_xlnm.Print_Area" localSheetId="2">③職員名簿!$A$1:$P$81</definedName>
    <definedName name="_xlnm.Print_Area" localSheetId="3">④加算!$A$1:$I$38</definedName>
    <definedName name="_xlnm.Print_Area" localSheetId="4">⑤集計表!$A$1:$P$46</definedName>
    <definedName name="_xlnm.Print_Area" localSheetId="5">⑥加配職員判定!$A$1:$G$37</definedName>
    <definedName name="_xlnm.Print_Area" localSheetId="7">各加算の関係性!$A$1:$AD$59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5" i="4" l="1"/>
  <c r="M14" i="4"/>
  <c r="C15" i="4" l="1"/>
  <c r="G14" i="4"/>
  <c r="D15" i="4"/>
  <c r="B14" i="4" l="1"/>
  <c r="B8" i="1"/>
  <c r="L2" i="5"/>
  <c r="B9" i="1" l="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30" i="4" l="1"/>
  <c r="B26" i="4"/>
  <c r="M40" i="4" s="1"/>
  <c r="B25" i="4" l="1"/>
  <c r="B27" i="4"/>
  <c r="B28" i="4"/>
  <c r="B29" i="4"/>
  <c r="B31" i="4"/>
  <c r="B32" i="4"/>
  <c r="B33" i="4"/>
  <c r="B34" i="4"/>
  <c r="B24" i="4"/>
  <c r="K17" i="4"/>
  <c r="K16" i="4"/>
  <c r="P12" i="2" l="1"/>
  <c r="B60" i="2" l="1"/>
  <c r="B61" i="2"/>
  <c r="B62" i="2"/>
  <c r="B63" i="2"/>
  <c r="B64" i="2"/>
  <c r="B65" i="2"/>
  <c r="B66" i="2"/>
  <c r="B67" i="2"/>
  <c r="B68" i="2"/>
  <c r="B69" i="2"/>
  <c r="B70" i="2"/>
  <c r="B71" i="2"/>
  <c r="B72" i="2"/>
  <c r="B73" i="2"/>
  <c r="B74" i="2"/>
  <c r="B75" i="2"/>
  <c r="B76" i="2"/>
  <c r="B77" i="2"/>
  <c r="B78" i="2"/>
  <c r="B79" i="2"/>
  <c r="B80" i="2"/>
  <c r="B81" i="2"/>
  <c r="B82" i="2"/>
  <c r="B83" i="2"/>
  <c r="B84" i="2"/>
  <c r="B85" i="2"/>
  <c r="B86" i="2"/>
  <c r="B87" i="2"/>
  <c r="R13" i="2"/>
  <c r="R14" i="2"/>
  <c r="R15" i="2"/>
  <c r="R16" i="2"/>
  <c r="R17" i="2"/>
  <c r="R18" i="2"/>
  <c r="R19" i="2"/>
  <c r="R20" i="2"/>
  <c r="R21" i="2"/>
  <c r="R22" i="2"/>
  <c r="R23" i="2"/>
  <c r="R24" i="2"/>
  <c r="R25" i="2"/>
  <c r="R26" i="2"/>
  <c r="R27" i="2"/>
  <c r="R28" i="2"/>
  <c r="R29" i="2"/>
  <c r="R30" i="2"/>
  <c r="R31" i="2"/>
  <c r="R32" i="2"/>
  <c r="R33" i="2"/>
  <c r="R34" i="2"/>
  <c r="R35" i="2"/>
  <c r="R36" i="2"/>
  <c r="R37" i="2"/>
  <c r="R38" i="2"/>
  <c r="R39" i="2"/>
  <c r="R40" i="2"/>
  <c r="R41" i="2"/>
  <c r="R42" i="2"/>
  <c r="R43" i="2"/>
  <c r="R44" i="2"/>
  <c r="R45" i="2"/>
  <c r="R46" i="2"/>
  <c r="R47" i="2"/>
  <c r="R48" i="2"/>
  <c r="R49" i="2"/>
  <c r="B49" i="2" s="1"/>
  <c r="R50" i="2"/>
  <c r="R51" i="2"/>
  <c r="R52" i="2"/>
  <c r="R53" i="2"/>
  <c r="B53" i="2" s="1"/>
  <c r="R54" i="2"/>
  <c r="R55" i="2"/>
  <c r="R56" i="2"/>
  <c r="R57" i="2"/>
  <c r="B57" i="2" s="1"/>
  <c r="R58" i="2"/>
  <c r="B58" i="2" s="1"/>
  <c r="R59" i="2"/>
  <c r="B59" i="2" s="1"/>
  <c r="R60" i="2"/>
  <c r="R61" i="2"/>
  <c r="R62" i="2"/>
  <c r="R63" i="2"/>
  <c r="R64" i="2"/>
  <c r="R65" i="2"/>
  <c r="R66" i="2"/>
  <c r="R67" i="2"/>
  <c r="R68" i="2"/>
  <c r="R69" i="2"/>
  <c r="R70" i="2"/>
  <c r="R71" i="2"/>
  <c r="R72" i="2"/>
  <c r="R73" i="2"/>
  <c r="R74" i="2"/>
  <c r="R75" i="2"/>
  <c r="R76" i="2"/>
  <c r="R77" i="2"/>
  <c r="R78" i="2"/>
  <c r="R79" i="2"/>
  <c r="R80" i="2"/>
  <c r="R81" i="2"/>
  <c r="R82" i="2"/>
  <c r="R83" i="2"/>
  <c r="R84" i="2"/>
  <c r="R85" i="2"/>
  <c r="R86" i="2"/>
  <c r="R87" i="2"/>
  <c r="R12" i="2"/>
  <c r="Q87" i="2"/>
  <c r="Q13" i="2"/>
  <c r="Q14" i="2"/>
  <c r="Q15" i="2"/>
  <c r="Q16" i="2"/>
  <c r="Q17" i="2"/>
  <c r="Q18" i="2"/>
  <c r="Q19" i="2"/>
  <c r="Q20" i="2"/>
  <c r="Q21" i="2"/>
  <c r="Q22" i="2"/>
  <c r="Q23" i="2"/>
  <c r="Q24" i="2"/>
  <c r="Q25" i="2"/>
  <c r="Q26" i="2"/>
  <c r="Q27" i="2"/>
  <c r="Q28" i="2"/>
  <c r="Q29" i="2"/>
  <c r="Q30" i="2"/>
  <c r="Q31" i="2"/>
  <c r="Q32" i="2"/>
  <c r="Q33" i="2"/>
  <c r="Q34" i="2"/>
  <c r="Q35" i="2"/>
  <c r="Q36" i="2"/>
  <c r="Q37" i="2"/>
  <c r="Q38" i="2"/>
  <c r="Q39" i="2"/>
  <c r="Q40" i="2"/>
  <c r="Q41" i="2"/>
  <c r="Q42" i="2"/>
  <c r="Q43" i="2"/>
  <c r="Q44" i="2"/>
  <c r="Q45" i="2"/>
  <c r="Q46" i="2"/>
  <c r="Q47" i="2"/>
  <c r="Q48" i="2"/>
  <c r="Q49" i="2"/>
  <c r="Q50" i="2"/>
  <c r="Q51" i="2"/>
  <c r="Q52" i="2"/>
  <c r="Q53" i="2"/>
  <c r="Q54" i="2"/>
  <c r="Q55" i="2"/>
  <c r="Q56" i="2"/>
  <c r="Q57" i="2"/>
  <c r="Q58" i="2"/>
  <c r="Q59" i="2"/>
  <c r="Q60" i="2"/>
  <c r="Q61" i="2"/>
  <c r="Q62" i="2"/>
  <c r="Q63" i="2"/>
  <c r="Q64" i="2"/>
  <c r="Q65" i="2"/>
  <c r="Q66" i="2"/>
  <c r="Q67" i="2"/>
  <c r="Q68" i="2"/>
  <c r="Q69" i="2"/>
  <c r="Q70" i="2"/>
  <c r="Q71" i="2"/>
  <c r="Q72" i="2"/>
  <c r="Q73" i="2"/>
  <c r="Q74" i="2"/>
  <c r="Q75" i="2"/>
  <c r="Q76" i="2"/>
  <c r="Q77" i="2"/>
  <c r="Q78" i="2"/>
  <c r="Q79" i="2"/>
  <c r="Q80" i="2"/>
  <c r="Q81" i="2"/>
  <c r="Q82" i="2"/>
  <c r="Q83" i="2"/>
  <c r="Q84" i="2"/>
  <c r="Q85" i="2"/>
  <c r="Q86" i="2"/>
  <c r="Q12" i="2"/>
  <c r="B56" i="2" l="1"/>
  <c r="B52" i="2"/>
  <c r="B48" i="2"/>
  <c r="B55" i="2"/>
  <c r="B51" i="2"/>
  <c r="B47" i="2"/>
  <c r="B54" i="2"/>
  <c r="B50" i="2"/>
  <c r="B46" i="2"/>
  <c r="B45" i="2"/>
  <c r="B44" i="2"/>
  <c r="B43" i="2"/>
  <c r="B42" i="2"/>
  <c r="B41" i="2"/>
  <c r="B3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6" i="1"/>
  <c r="B267" i="1"/>
  <c r="B268" i="1"/>
  <c r="B269" i="1"/>
  <c r="B270" i="1"/>
  <c r="B271" i="1"/>
  <c r="B272" i="1"/>
  <c r="B273" i="1"/>
  <c r="B274" i="1"/>
  <c r="B275" i="1"/>
  <c r="B276" i="1"/>
  <c r="B277" i="1"/>
  <c r="B278" i="1"/>
  <c r="B279" i="1"/>
  <c r="B280" i="1"/>
  <c r="B281" i="1"/>
  <c r="B282" i="1"/>
  <c r="B283" i="1"/>
  <c r="B284" i="1"/>
  <c r="B285" i="1"/>
  <c r="B286" i="1"/>
  <c r="B287" i="1"/>
  <c r="B288" i="1"/>
  <c r="B289" i="1"/>
  <c r="B290" i="1"/>
  <c r="B291" i="1"/>
  <c r="B292" i="1"/>
  <c r="B293" i="1"/>
  <c r="B294" i="1"/>
  <c r="B295" i="1"/>
  <c r="B296" i="1"/>
  <c r="B297" i="1"/>
  <c r="B298" i="1"/>
  <c r="B299" i="1"/>
  <c r="B300" i="1"/>
  <c r="B301" i="1"/>
  <c r="B302" i="1"/>
  <c r="B303" i="1"/>
  <c r="B304" i="1"/>
  <c r="B305" i="1"/>
  <c r="B306" i="1"/>
  <c r="F45" i="4"/>
  <c r="P13" i="2"/>
  <c r="P15" i="2"/>
  <c r="P17" i="2"/>
  <c r="P18" i="2"/>
  <c r="P19" i="2"/>
  <c r="P20" i="2"/>
  <c r="P21" i="2"/>
  <c r="P22" i="2"/>
  <c r="P23" i="2"/>
  <c r="P24" i="2"/>
  <c r="P25" i="2"/>
  <c r="P26" i="2"/>
  <c r="P27" i="2"/>
  <c r="P28" i="2"/>
  <c r="P29" i="2"/>
  <c r="P30" i="2"/>
  <c r="P31" i="2"/>
  <c r="P32" i="2"/>
  <c r="P33" i="2"/>
  <c r="P34" i="2"/>
  <c r="P35" i="2"/>
  <c r="P36" i="2"/>
  <c r="P37" i="2"/>
  <c r="P38" i="2"/>
  <c r="P39" i="2"/>
  <c r="P40" i="2"/>
  <c r="P41" i="2"/>
  <c r="P42" i="2"/>
  <c r="P43" i="2"/>
  <c r="P44" i="2"/>
  <c r="P45" i="2"/>
  <c r="P46" i="2"/>
  <c r="P47" i="2"/>
  <c r="P48" i="2"/>
  <c r="P49" i="2"/>
  <c r="P50" i="2"/>
  <c r="P51" i="2"/>
  <c r="P52" i="2"/>
  <c r="P53" i="2"/>
  <c r="P54" i="2"/>
  <c r="P55" i="2"/>
  <c r="P56" i="2"/>
  <c r="P57" i="2"/>
  <c r="P58" i="2"/>
  <c r="P59" i="2"/>
  <c r="P60" i="2"/>
  <c r="P61" i="2"/>
  <c r="P62" i="2"/>
  <c r="P63" i="2"/>
  <c r="P64" i="2"/>
  <c r="P65" i="2"/>
  <c r="P66" i="2"/>
  <c r="P67" i="2"/>
  <c r="P68" i="2"/>
  <c r="P69" i="2"/>
  <c r="P70" i="2"/>
  <c r="P71" i="2"/>
  <c r="P72" i="2"/>
  <c r="P73" i="2"/>
  <c r="P74" i="2"/>
  <c r="P75" i="2"/>
  <c r="P76" i="2"/>
  <c r="P77" i="2"/>
  <c r="P78" i="2"/>
  <c r="P79" i="2"/>
  <c r="P80" i="2"/>
  <c r="P81" i="2"/>
  <c r="P82" i="2"/>
  <c r="P83" i="2"/>
  <c r="P84" i="2"/>
  <c r="P85" i="2"/>
  <c r="P86" i="2"/>
  <c r="P87" i="2"/>
  <c r="N10" i="1" l="1"/>
  <c r="J40" i="2"/>
  <c r="S40" i="2"/>
  <c r="F18" i="10" l="1"/>
  <c r="B4" i="10"/>
  <c r="O2" i="3" l="1"/>
  <c r="J24" i="2" l="1"/>
  <c r="J25" i="2"/>
  <c r="J26" i="2"/>
  <c r="J27" i="2"/>
  <c r="M1" i="7" l="1"/>
  <c r="O2" i="4"/>
  <c r="I2" i="3"/>
  <c r="P3" i="2"/>
  <c r="G2" i="1"/>
  <c r="H2" i="5"/>
  <c r="H28" i="5" l="1"/>
  <c r="N2" i="3" l="1"/>
  <c r="P8" i="3" l="1"/>
  <c r="P9" i="3" l="1"/>
  <c r="O8" i="3"/>
  <c r="L2" i="3"/>
  <c r="K2" i="3" s="1"/>
  <c r="C10" i="3" s="1"/>
  <c r="N4" i="4" l="1"/>
  <c r="L4" i="5"/>
  <c r="B13" i="4"/>
  <c r="B12" i="4"/>
  <c r="O10" i="3" l="1"/>
  <c r="N10" i="3" s="1"/>
  <c r="L10" i="3" s="1"/>
  <c r="K10" i="3" s="1"/>
  <c r="H31" i="3" s="1"/>
  <c r="F21" i="4"/>
  <c r="F43" i="4" l="1"/>
  <c r="J33" i="2" l="1"/>
  <c r="J32" i="2"/>
  <c r="J31" i="2"/>
  <c r="J30" i="2"/>
  <c r="J29" i="2"/>
  <c r="F12" i="4" l="1"/>
  <c r="F11" i="4"/>
  <c r="F9" i="4"/>
  <c r="B11" i="4"/>
  <c r="B10" i="4"/>
  <c r="M24" i="4" s="1"/>
  <c r="B9" i="4"/>
  <c r="M23" i="4" s="1"/>
  <c r="F16" i="10" s="1"/>
  <c r="F31" i="4"/>
  <c r="F44" i="4"/>
  <c r="F42" i="4"/>
  <c r="F41" i="4"/>
  <c r="F40" i="4"/>
  <c r="F39" i="4"/>
  <c r="F38" i="4"/>
  <c r="F37" i="4"/>
  <c r="F36" i="4"/>
  <c r="F35" i="4"/>
  <c r="F34" i="4"/>
  <c r="F33" i="4"/>
  <c r="F32" i="4"/>
  <c r="F29" i="4"/>
  <c r="F28" i="4"/>
  <c r="F26" i="4"/>
  <c r="F25" i="4"/>
  <c r="F24" i="4"/>
  <c r="F23" i="4"/>
  <c r="F22" i="4"/>
  <c r="F20" i="4"/>
  <c r="F19" i="4"/>
  <c r="B19" i="4"/>
  <c r="B23" i="4"/>
  <c r="B22" i="4"/>
  <c r="B21" i="4"/>
  <c r="M35" i="4" s="1"/>
  <c r="B20" i="4"/>
  <c r="L11" i="1"/>
  <c r="P11" i="1" s="1"/>
  <c r="J87" i="2"/>
  <c r="J83" i="2"/>
  <c r="J84" i="2"/>
  <c r="J85" i="2"/>
  <c r="J86" i="2"/>
  <c r="J72" i="2"/>
  <c r="J73" i="2"/>
  <c r="J74" i="2"/>
  <c r="J75" i="2"/>
  <c r="J76" i="2"/>
  <c r="J77" i="2"/>
  <c r="J78" i="2"/>
  <c r="J79" i="2"/>
  <c r="J80" i="2"/>
  <c r="J81" i="2"/>
  <c r="J82" i="2"/>
  <c r="J71" i="2"/>
  <c r="J70" i="2"/>
  <c r="J69" i="2"/>
  <c r="J68" i="2"/>
  <c r="J67" i="2"/>
  <c r="J66" i="2"/>
  <c r="J65" i="2"/>
  <c r="J64" i="2"/>
  <c r="J63" i="2"/>
  <c r="J62" i="2"/>
  <c r="J61" i="2"/>
  <c r="AA9" i="2"/>
  <c r="M2" i="5"/>
  <c r="J60" i="2" l="1"/>
  <c r="P16" i="2"/>
  <c r="P14" i="2"/>
  <c r="S17" i="2"/>
  <c r="S16" i="2"/>
  <c r="J35" i="2"/>
  <c r="J18" i="2"/>
  <c r="N9" i="1"/>
  <c r="L12" i="1"/>
  <c r="J58" i="2"/>
  <c r="J42" i="2"/>
  <c r="J57" i="2"/>
  <c r="J53" i="2"/>
  <c r="J49" i="2"/>
  <c r="J45" i="2"/>
  <c r="J41" i="2"/>
  <c r="J44" i="2"/>
  <c r="J59" i="2"/>
  <c r="J51" i="2"/>
  <c r="J47" i="2"/>
  <c r="J54" i="2"/>
  <c r="J46" i="2"/>
  <c r="J56" i="2"/>
  <c r="J52" i="2"/>
  <c r="J48" i="2"/>
  <c r="J55" i="2"/>
  <c r="J43" i="2"/>
  <c r="J50" i="2"/>
  <c r="O10" i="1"/>
  <c r="O9" i="1"/>
  <c r="J12" i="1"/>
  <c r="L9" i="1"/>
  <c r="M10" i="1"/>
  <c r="K12" i="1"/>
  <c r="M9" i="1"/>
  <c r="J17" i="2"/>
  <c r="J20" i="2"/>
  <c r="J39" i="2"/>
  <c r="J14" i="2"/>
  <c r="J21" i="2"/>
  <c r="J23" i="2"/>
  <c r="J22" i="2"/>
  <c r="J15" i="2"/>
  <c r="J12" i="2"/>
  <c r="J19" i="2"/>
  <c r="J16" i="2"/>
  <c r="J38" i="2"/>
  <c r="B4" i="4"/>
  <c r="P10" i="1" l="1"/>
  <c r="AB39" i="2"/>
  <c r="AB42" i="2"/>
  <c r="AC43" i="2"/>
  <c r="AD43" i="2" s="1"/>
  <c r="AB43" i="2"/>
  <c r="AB40" i="2"/>
  <c r="AC40" i="2"/>
  <c r="AD40" i="2" s="1"/>
  <c r="J13" i="1"/>
  <c r="P12" i="1"/>
  <c r="N13" i="1"/>
  <c r="O13" i="1"/>
  <c r="P9" i="1"/>
  <c r="L13" i="1"/>
  <c r="K13" i="1"/>
  <c r="M13" i="1"/>
  <c r="C10" i="10" s="1"/>
  <c r="D10" i="10" s="1"/>
  <c r="A3" i="3"/>
  <c r="A6" i="3"/>
  <c r="L12" i="4" l="1"/>
  <c r="M12" i="4" s="1"/>
  <c r="C8" i="10"/>
  <c r="D8" i="10" s="1"/>
  <c r="C9" i="10"/>
  <c r="D9" i="10" s="1"/>
  <c r="C11" i="10"/>
  <c r="D11" i="10" s="1"/>
  <c r="AE40" i="2"/>
  <c r="F14" i="10" s="1"/>
  <c r="AC39" i="2"/>
  <c r="D7" i="2"/>
  <c r="C7" i="2"/>
  <c r="C6" i="2"/>
  <c r="AE43" i="2"/>
  <c r="J6" i="2" s="1"/>
  <c r="D6" i="2"/>
  <c r="AC42" i="2"/>
  <c r="L15" i="4"/>
  <c r="K8" i="4"/>
  <c r="L13" i="4"/>
  <c r="M13" i="4" s="1"/>
  <c r="O8" i="4"/>
  <c r="P13" i="1"/>
  <c r="L14" i="4"/>
  <c r="H14" i="5"/>
  <c r="F13" i="4" s="1"/>
  <c r="H11" i="5"/>
  <c r="F10" i="4" s="1"/>
  <c r="D12" i="10" l="1"/>
  <c r="F12" i="10" s="1"/>
  <c r="F15" i="10" s="1"/>
  <c r="J7" i="2"/>
  <c r="M16" i="4"/>
  <c r="L3" i="5"/>
  <c r="F4" i="1"/>
  <c r="N4" i="2"/>
  <c r="A4" i="2"/>
  <c r="A4" i="1"/>
  <c r="O11" i="3" l="1"/>
  <c r="N11" i="3" s="1"/>
  <c r="L11" i="3" s="1"/>
  <c r="K11" i="3" s="1"/>
  <c r="H30" i="3" s="1"/>
  <c r="M3" i="5"/>
  <c r="B15" i="2" s="1"/>
  <c r="M18" i="4"/>
  <c r="O9" i="4" s="1"/>
  <c r="H14" i="4"/>
  <c r="G21" i="5"/>
  <c r="F21" i="5"/>
  <c r="E21" i="5"/>
  <c r="D21" i="5"/>
  <c r="C21" i="5"/>
  <c r="B21" i="5"/>
  <c r="H20" i="5"/>
  <c r="H19" i="5"/>
  <c r="H18" i="5"/>
  <c r="O3" i="3" s="1"/>
  <c r="B14" i="2" l="1"/>
  <c r="O18" i="4"/>
  <c r="K26" i="4"/>
  <c r="M27" i="4"/>
  <c r="B17" i="2"/>
  <c r="M18" i="3"/>
  <c r="Q9" i="1"/>
  <c r="Q10" i="1"/>
  <c r="H21" i="5"/>
  <c r="O9" i="3" s="1"/>
  <c r="N9" i="3" s="1"/>
  <c r="L9" i="3" s="1"/>
  <c r="K9" i="3" s="1"/>
  <c r="H22" i="3" s="1"/>
  <c r="O12" i="3" l="1"/>
  <c r="O4" i="3"/>
  <c r="M28" i="4"/>
  <c r="F17" i="10"/>
  <c r="F20" i="10" s="1"/>
  <c r="M20" i="4"/>
  <c r="O5" i="3"/>
  <c r="O24" i="4"/>
  <c r="O27" i="4" s="1"/>
  <c r="O30" i="4" s="1"/>
  <c r="O35" i="4" s="1"/>
  <c r="P3" i="3"/>
  <c r="L18" i="3"/>
  <c r="M38" i="4" s="1"/>
  <c r="L39" i="4" s="1"/>
  <c r="K37" i="4"/>
  <c r="Q35" i="4" l="1"/>
  <c r="Q36" i="4" s="1"/>
  <c r="Q37" i="4" s="1"/>
  <c r="M33" i="4"/>
  <c r="L13" i="3" s="1"/>
  <c r="K13" i="3" s="1"/>
  <c r="Q12" i="3" s="1"/>
  <c r="N12" i="3" s="1"/>
  <c r="L12" i="3" s="1"/>
  <c r="K12" i="3" s="1"/>
  <c r="C14" i="3" s="1"/>
  <c r="O6" i="3"/>
  <c r="O7" i="3"/>
  <c r="O37" i="4" l="1"/>
  <c r="Q7" i="3"/>
  <c r="N7" i="3" s="1"/>
  <c r="L7" i="3" s="1"/>
  <c r="K7" i="3" s="1"/>
  <c r="D16" i="3" s="1"/>
  <c r="Q3" i="3"/>
  <c r="N3" i="3" s="1"/>
  <c r="L3" i="3" s="1"/>
  <c r="K3" i="3" s="1"/>
  <c r="C11" i="3" s="1"/>
  <c r="Q8" i="3"/>
  <c r="N8" i="3" s="1"/>
  <c r="L8" i="3" s="1"/>
  <c r="K8" i="3" s="1"/>
  <c r="I21" i="3" s="1"/>
  <c r="Q6" i="3"/>
  <c r="N6" i="3" s="1"/>
  <c r="L6" i="3" s="1"/>
  <c r="K6" i="3" s="1"/>
  <c r="C15" i="3" s="1"/>
  <c r="Q5" i="3"/>
  <c r="N5" i="3" s="1"/>
  <c r="L5" i="3" s="1"/>
  <c r="K5" i="3" s="1"/>
  <c r="C13" i="3" s="1"/>
  <c r="Q4" i="3"/>
  <c r="N4" i="3" s="1"/>
  <c r="L4" i="3" s="1"/>
  <c r="K4" i="3" s="1"/>
  <c r="C12" i="3" s="1"/>
  <c r="M41" i="4" l="1"/>
  <c r="N39" i="4"/>
</calcChain>
</file>

<file path=xl/comments1.xml><?xml version="1.0" encoding="utf-8"?>
<comments xmlns="http://schemas.openxmlformats.org/spreadsheetml/2006/main">
  <authors>
    <author>三木市役所</author>
  </authors>
  <commentList>
    <comment ref="E3" authorId="0" shapeId="0">
      <text>
        <r>
          <rPr>
            <sz val="8"/>
            <color indexed="81"/>
            <rFont val="MS P ゴシック"/>
            <family val="3"/>
            <charset val="128"/>
          </rPr>
          <t xml:space="preserve">【参考】
特定教育・保育等に要する費用の額の算定に関する基準等の実施上の留意事項について（R6.3.29改正）
</t>
        </r>
        <r>
          <rPr>
            <b/>
            <sz val="8"/>
            <color indexed="81"/>
            <rFont val="MS P ゴシック"/>
            <family val="3"/>
            <charset val="128"/>
          </rPr>
          <t xml:space="preserve">
≪認定こども園　１号≫
</t>
        </r>
        <r>
          <rPr>
            <sz val="8"/>
            <color indexed="81"/>
            <rFont val="MS P ゴシック"/>
            <family val="3"/>
            <charset val="128"/>
          </rPr>
          <t>１．主幹保育教諭等の専任化により子育て支援の取組みを実施していない場合（⑱）
（１）調整の適用を受ける施設の要件
以下の要件を満たさない施設に適用する。
（要件）</t>
        </r>
        <r>
          <rPr>
            <b/>
            <sz val="8"/>
            <color indexed="81"/>
            <rFont val="MS P ゴシック"/>
            <family val="3"/>
            <charset val="128"/>
          </rPr>
          <t xml:space="preserve">
</t>
        </r>
        <r>
          <rPr>
            <sz val="8"/>
            <color indexed="81"/>
            <rFont val="MS P ゴシック"/>
            <family val="3"/>
            <charset val="128"/>
          </rPr>
          <t>Ⅱの１．（２）（ア）ⅰ（注４）の主幹保育教諭等１人を配置し、その主幹保育教諭等を教育・保育計画の立案や地域の子育て支援活動等の業務に専任させるためのⅡの１．（２）（ア）ⅱｃの代替保育教諭等を配置し、以下の事業等を複数実施すること。
また、保護者や地域住民からの教育・育児相談、地域の子育て支援活動等に積極的に取り組むこと。
認定こども園の基本分単価は、主幹保育教諭等がクラス担当等から離れて、指導計画の立案や子育て活動等に専任できるよう、代替保育教諭等の配置のための費用を算定していることから、主幹保育教諭等がクラス担当や学級担任を兼務することは適切ではなく、代理で行う場合であっても、１月を超えて兼務が継続している場合は減算調整を行うこと。</t>
        </r>
        <r>
          <rPr>
            <b/>
            <sz val="8"/>
            <color indexed="81"/>
            <rFont val="MS P ゴシック"/>
            <family val="3"/>
            <charset val="128"/>
          </rPr>
          <t xml:space="preserve">
ⅰ 幼稚園型一時預かり事業</t>
        </r>
        <r>
          <rPr>
            <sz val="8"/>
            <color indexed="81"/>
            <rFont val="MS P ゴシック"/>
            <family val="3"/>
            <charset val="128"/>
          </rPr>
          <t>（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預かり保育推進事業、幼稚園長時間預かり保育支援事業、市町村の単独事業・自主事業（私学助成の国庫補助事業の対象に準ずる形態で実施されている場合に限る。）等により行う預かり保育を含む。ただし、当該要件を満たした月以降の各月においては、同一年度に限り、事業を実施する体制が取られていることをもって当該要件を満たしているものと取り扱う。）</t>
        </r>
        <r>
          <rPr>
            <b/>
            <sz val="8"/>
            <color indexed="81"/>
            <rFont val="MS P ゴシック"/>
            <family val="3"/>
            <charset val="128"/>
          </rPr>
          <t xml:space="preserve">
ⅱ 一般型一時預かり事業</t>
        </r>
        <r>
          <rPr>
            <sz val="8"/>
            <color indexed="81"/>
            <rFont val="MS P ゴシック"/>
            <family val="3"/>
            <charset val="128"/>
          </rPr>
          <t>（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子育て支援活動の推進等により行う未就園児の保育、幼稚園型一時預かり事業により行う非在園児の預かり及びこれらと同等の要件を満たして実施しているもの。ただし、当該要件を満たした月以降の各月においては、同一年度に限り、事業を実施する体制が取られていることをもって当該要件を満たしているものと取り扱う。）</t>
        </r>
        <r>
          <rPr>
            <b/>
            <sz val="8"/>
            <color indexed="81"/>
            <rFont val="MS P ゴシック"/>
            <family val="3"/>
            <charset val="128"/>
          </rPr>
          <t xml:space="preserve">
ⅲ 満３歳児に対する教育・保育の提供</t>
        </r>
        <r>
          <rPr>
            <sz val="8"/>
            <color indexed="81"/>
            <rFont val="MS P ゴシック"/>
            <family val="3"/>
            <charset val="128"/>
          </rPr>
          <t>（月の初日において満３歳児が１人以上利用している月から年度を通じて当該要件を満たしているものとする。）</t>
        </r>
        <r>
          <rPr>
            <b/>
            <sz val="8"/>
            <color indexed="81"/>
            <rFont val="MS P ゴシック"/>
            <family val="3"/>
            <charset val="128"/>
          </rPr>
          <t xml:space="preserve">
ⅳ 障害児（軽度障害児を含む。）</t>
        </r>
        <r>
          <rPr>
            <sz val="8"/>
            <color indexed="81"/>
            <rFont val="MS P ゴシック"/>
            <family val="3"/>
            <charset val="128"/>
          </rPr>
          <t>（注）に対する教育・保育の提供（月の初日において障害児が１人以上利用している月から年度を通じて当該要件を満たしているものとする。）
（注）市町村が認める障害児とし、身体障害者手帳等の交付の有無は問わない。医師による診断書
（注）市町村が認める障害児とし、身体障害者手帳等の交付の有無は問わない。医師による診断書や巡回支援専門員等障害に関する専門的知見を有する者による意見提出など障害の事実が把握や巡回支援専門員等障害に関する専門的知見を有する者による意見提出など障害の事実が把握可能な資料をもって確認しても差し支えない。可能な資料をもって確認しても差し支えない。</t>
        </r>
        <r>
          <rPr>
            <b/>
            <sz val="8"/>
            <color indexed="81"/>
            <rFont val="MS P ゴシック"/>
            <family val="3"/>
            <charset val="128"/>
          </rPr>
          <t xml:space="preserve">
ⅴ 継続的な小学校との連携・接続に係る取組で以下の全ての要件を満たすもの</t>
        </r>
        <r>
          <rPr>
            <sz val="8"/>
            <color indexed="81"/>
            <rFont val="MS P ゴシック"/>
            <family val="3"/>
            <charset val="128"/>
          </rPr>
          <t>（年度当初継続的な小学校との連携・接続に係る取組で以下の全ての要件を満たすもの（年度当初から当該取組を開始する場合は５月にから当該取組を開始する場合は５月においておいて計画により下記の要件を満たしていることを計画により下記の要件を満たしていることをもって４月からもって４月から年度を通じて年度を通じて当該要件を満たしているものと取り扱う。）当該要件を満たしているものと取り扱う。）
(ｱ) 小学校との連携・接続に関する業務分掌を明確にしていること。小学校との連携・接続に関する業務分掌を明確にしていること。
(ｲ) 授業・行事、研究会・研修等の小学校授業・行事、研究会・研修等の小学校との子ども及び教職員の交流活動を年度を通じの子ども及び教職員の交流活動を年度を通じて複数回実施していること。て複数回実施していること。
(ｳ) 小学校と協働して、５歳児から小学校１年生の２年間（２年以上を含む。）のカリキ小学校と協働して、５歳児から小学校１年生の２年間（２年以上を含む。）のカリキュラムを編成・実施していること（小学校との継続的な協議会の開催等により具体的ュラムを編成・実施していること（小学校との継続的な協議会の開催等により具体的な編成に着手していると認められる場合を含む。）。な編成に着手していると認められる場合を含む。）。</t>
        </r>
        <r>
          <rPr>
            <b/>
            <sz val="8"/>
            <color indexed="81"/>
            <rFont val="MS P ゴシック"/>
            <family val="3"/>
            <charset val="128"/>
          </rPr>
          <t xml:space="preserve">
ⅵ </t>
        </r>
        <r>
          <rPr>
            <sz val="8"/>
            <color indexed="81"/>
            <rFont val="MS P ゴシック"/>
            <family val="3"/>
            <charset val="128"/>
          </rPr>
          <t>都道府県都道府県及び 市町村市町村等の教育委員会又は幼児教育センターなど幼児教育施設に対して幼等の教育委員会又は幼児教育センターなど幼児教育施設に対して幼児教育の内容・指導児教育の内容・指導方法等の指導助言等を行う部局、あるいは幼児教育アドバイザーなど方法等の指導助言等を行う部局、あるいは幼児教育アドバイザーなど地方自治体に所属して幼児教育の専門的な知見や豊富な実践経験に基づき幼児教育に関す地方自治体に所属して幼児教育の専門的な知見や豊富な実践経験に基づき幼児教育に関する指導助言等を行う者と連携して、園内研修を企画・実施していること。る指導助言等を行う者と連携して、園内研修を企画・実施していること。</t>
        </r>
        <r>
          <rPr>
            <b/>
            <sz val="8"/>
            <color indexed="81"/>
            <rFont val="MS P ゴシック"/>
            <family val="3"/>
            <charset val="128"/>
          </rPr>
          <t xml:space="preserve">
</t>
        </r>
        <r>
          <rPr>
            <sz val="8"/>
            <color indexed="81"/>
            <rFont val="MS P ゴシック"/>
            <family val="3"/>
            <charset val="128"/>
          </rPr>
          <t xml:space="preserve">
</t>
        </r>
        <r>
          <rPr>
            <b/>
            <sz val="8"/>
            <color indexed="81"/>
            <rFont val="MS P ゴシック"/>
            <family val="3"/>
            <charset val="128"/>
          </rPr>
          <t xml:space="preserve">≪認定こども園　２・３号≫
</t>
        </r>
        <r>
          <rPr>
            <sz val="8"/>
            <color indexed="81"/>
            <rFont val="MS P ゴシック"/>
            <family val="3"/>
            <charset val="128"/>
          </rPr>
          <t>４．主幹保育教諭等の専任化により子育て支援の取組みを実施していない場合（⑳）</t>
        </r>
        <r>
          <rPr>
            <b/>
            <sz val="8"/>
            <color indexed="81"/>
            <rFont val="MS P ゴシック"/>
            <family val="3"/>
            <charset val="128"/>
          </rPr>
          <t xml:space="preserve">
</t>
        </r>
        <r>
          <rPr>
            <sz val="8"/>
            <color indexed="81"/>
            <rFont val="MS P ゴシック"/>
            <family val="3"/>
            <charset val="128"/>
          </rPr>
          <t>（１）調整の適用を受ける施設の要件
以下の要件を満たさない施設に適用する。
（要件）
別紙３のⅡの１．（２）（ア）ⅰ（注４）の主幹保育教諭等１人を配置し、 その 主幹保育教諭等を教育・保育計画の立案等の業務に専任させるための別紙３のⅡの１．（２）（ア）ⅱｃの代替保育教諭等を配置し、以下の事業等を複数実施すること。</t>
        </r>
        <r>
          <rPr>
            <b/>
            <sz val="8"/>
            <color indexed="81"/>
            <rFont val="MS P ゴシック"/>
            <family val="3"/>
            <charset val="128"/>
          </rPr>
          <t xml:space="preserve">
</t>
        </r>
        <r>
          <rPr>
            <sz val="8"/>
            <color indexed="81"/>
            <rFont val="MS P ゴシック"/>
            <family val="3"/>
            <charset val="128"/>
          </rPr>
          <t>また、保護者や地域住民からの教育・育児相談、地域の子育て支援活動等に積極的に取り組むこと。
認定こども園の基本分単価は、主幹保育教諭等がクラス担当等から離れて、指導計画の立案や子育て活動等に専任できるよう、代替保育教諭等の配置のための費用を算定していることから、主幹保育教諭等がクラス担当や学級担任を兼務することは適切ではなく、代理で行う場合であっても、１月を超えて兼務が継続している場合は減算調整を行うこと。</t>
        </r>
        <r>
          <rPr>
            <b/>
            <sz val="8"/>
            <color indexed="81"/>
            <rFont val="MS P ゴシック"/>
            <family val="3"/>
            <charset val="128"/>
          </rPr>
          <t xml:space="preserve">
ⅰ 延長保育事業</t>
        </r>
        <r>
          <rPr>
            <sz val="8"/>
            <color indexed="81"/>
            <rFont val="MS P ゴシック"/>
            <family val="3"/>
            <charset val="128"/>
          </rPr>
          <t>（子ども・子育て支援交付金の交付に係る要件に適合するもの及びこれと同等の要件を満たし て自主事業として実施しているもの。ただし、当該要件を満たした月以降の各月においては、同一年度内に限り、事業を実施する体制が取られていることをもって当該要件を満たしているものと取り扱う。）</t>
        </r>
        <r>
          <rPr>
            <b/>
            <sz val="8"/>
            <color indexed="81"/>
            <rFont val="MS P ゴシック"/>
            <family val="3"/>
            <charset val="128"/>
          </rPr>
          <t xml:space="preserve">
ⅱ 一時預かり事業（一般型）</t>
        </r>
        <r>
          <rPr>
            <sz val="8"/>
            <color indexed="81"/>
            <rFont val="MS P ゴシック"/>
            <family val="3"/>
            <charset val="128"/>
          </rPr>
          <t>（子ども・子育て支援交付金に係る要件に適合しており、かつ、月の 平均対象子どもが１人以上いるもの（年度当初から事業を開始する場合は５月において当該要件を満たしていることをもって４月から当該要件を満たしているものと取り扱う。）。ただし、当該要件を満たした月以降の各月においては、同一年度内に限り、事業 を 実施する体制が取られていることをもって当該要件を満たしているものと取り扱う。）
ただし、当分の間は平成21 年６月３日雇児発第 0603002 号厚生労働省雇用均等・児童家庭局長通知｢『保育対策等促進事業の実施について』の一部改正について」以前に定める一時保育促進事業の要件を満たしていると認められ、実施しているものも含むこととされること。</t>
        </r>
        <r>
          <rPr>
            <b/>
            <sz val="8"/>
            <color indexed="81"/>
            <rFont val="MS P ゴシック"/>
            <family val="3"/>
            <charset val="128"/>
          </rPr>
          <t xml:space="preserve">
ⅲ 病児保育事業（</t>
        </r>
        <r>
          <rPr>
            <sz val="8"/>
            <color indexed="81"/>
            <rFont val="MS P ゴシック"/>
            <family val="3"/>
            <charset val="128"/>
          </rPr>
          <t>子ども・子育て支援交付金に係る要件に適合するもの及びこれと同等の要件を満たして自主事業として実施しているもの。）</t>
        </r>
        <r>
          <rPr>
            <b/>
            <sz val="8"/>
            <color indexed="81"/>
            <rFont val="MS P ゴシック"/>
            <family val="3"/>
            <charset val="128"/>
          </rPr>
          <t xml:space="preserve">
ⅳ 乳児が３人以上利用している施設</t>
        </r>
        <r>
          <rPr>
            <sz val="8"/>
            <color indexed="81"/>
            <rFont val="MS P ゴシック"/>
            <family val="3"/>
            <charset val="128"/>
          </rPr>
          <t>（月の初 日において乳児が３人以上利用している月から年度を通じて当該要件を満たしているものとする。）</t>
        </r>
        <r>
          <rPr>
            <b/>
            <sz val="8"/>
            <color indexed="81"/>
            <rFont val="MS P ゴシック"/>
            <family val="3"/>
            <charset val="128"/>
          </rPr>
          <t xml:space="preserve">
</t>
        </r>
        <r>
          <rPr>
            <sz val="8"/>
            <color indexed="81"/>
            <rFont val="MS P ゴシック"/>
            <family val="3"/>
            <charset val="128"/>
          </rPr>
          <t>また、①乳児の利用定員が３人以上あり、かつ、②乳児保育を実施する職員体制を維持し、③地域の親子が交流する場の提供や子育てに関する相談会を月２回以上開催している場合、前年度に要件を満たしていた月（令和５年度に特例の適用があった月を含む）については、乳児３人以上の利用の要件を満たしたものと取り扱う。</t>
        </r>
        <r>
          <rPr>
            <b/>
            <sz val="8"/>
            <color indexed="81"/>
            <rFont val="MS P ゴシック"/>
            <family val="3"/>
            <charset val="128"/>
          </rPr>
          <t xml:space="preserve">
ⅴ 障害児（軽度障害児を含む。）（</t>
        </r>
        <r>
          <rPr>
            <sz val="8"/>
            <color indexed="81"/>
            <rFont val="MS P ゴシック"/>
            <family val="3"/>
            <charset val="128"/>
          </rPr>
          <t xml:space="preserve"> （注） が１人以上利用している施設（月の初日において障害児が１人以上利用している月から年度を通じて当該要件を満たしているものとする。）
（注）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
</t>
        </r>
      </text>
    </comment>
  </commentList>
</comments>
</file>

<file path=xl/comments2.xml><?xml version="1.0" encoding="utf-8"?>
<comments xmlns="http://schemas.openxmlformats.org/spreadsheetml/2006/main">
  <authors>
    <author>三木市役所</author>
  </authors>
  <commentList>
    <comment ref="B7" authorId="0" shapeId="0">
      <text>
        <r>
          <rPr>
            <b/>
            <sz val="8"/>
            <color indexed="81"/>
            <rFont val="MS P ゴシック"/>
            <family val="3"/>
            <charset val="128"/>
          </rPr>
          <t>クラスは生年月日を入力すると自動計算されます。</t>
        </r>
      </text>
    </comment>
  </commentList>
</comments>
</file>

<file path=xl/comments3.xml><?xml version="1.0" encoding="utf-8"?>
<comments xmlns="http://schemas.openxmlformats.org/spreadsheetml/2006/main">
  <authors>
    <author>三木市役所</author>
    <author>三木市</author>
  </authors>
  <commentList>
    <comment ref="A1" authorId="0" shapeId="0">
      <text>
        <r>
          <rPr>
            <b/>
            <sz val="8"/>
            <color indexed="17"/>
            <rFont val="MS P ゴシック"/>
            <family val="3"/>
            <charset val="128"/>
          </rPr>
          <t>※対象月の初日時点で就労している職員が対象となります。
※育休・療養休暇等の長期休暇取得中の職員は、休職中等職員の欄へ入力してください（ただし加算や職員数計算等の対象にはなりません）。</t>
        </r>
      </text>
    </comment>
    <comment ref="M10" authorId="0" shapeId="0">
      <text>
        <r>
          <rPr>
            <sz val="9"/>
            <color indexed="81"/>
            <rFont val="MS P ゴシック"/>
            <family val="3"/>
            <charset val="128"/>
          </rPr>
          <t>令和５年度の国の告示の中で、兼務職員の実態を把握するよう国から求められています。施設を複数運営している法人が、１人の職員に対して複数の施設で常勤扱いにするなどの多重雇用や、法人が定めた月間勤務時間を超える雇用契約を行わないよう注意が必要です。
　例えば、ある施設で１６０ｈの常勤として雇用されている職員が、他の施設で月80ｈの雇用契約を結んでいる、若しくは給与を得ているのはアウトです。
（A園で100ｈ分、B園で60ｈ分の給与をそれそれ得る、というのは問題ありません。）
　市において、他施設（小規模園やアフタースクール、介護施設等）の給与台帳及び委託費に係る計画書等の確認を行います。
　月間勤務時間を超過している職員については、Ｐ列に「ＮＧ」表示が出ます。</t>
        </r>
      </text>
    </comment>
    <comment ref="B12" authorId="0" shapeId="0">
      <text>
        <r>
          <rPr>
            <sz val="9"/>
            <color indexed="81"/>
            <rFont val="MS P ゴシック"/>
            <family val="3"/>
            <charset val="128"/>
          </rPr>
          <t>園長は必ず設置しなければならない</t>
        </r>
      </text>
    </comment>
    <comment ref="B13" authorId="0" shapeId="0">
      <text>
        <r>
          <rPr>
            <sz val="9"/>
            <color indexed="81"/>
            <rFont val="MS P ゴシック"/>
            <family val="3"/>
            <charset val="128"/>
          </rPr>
          <t>副園長の設置は任意、常勤でなければならない</t>
        </r>
      </text>
    </comment>
    <comment ref="B14" authorId="0" shapeId="0">
      <text>
        <r>
          <rPr>
            <sz val="9"/>
            <color indexed="81"/>
            <rFont val="MS P ゴシック"/>
            <family val="3"/>
            <charset val="128"/>
          </rPr>
          <t>常勤または非常勤（80H以上）であること</t>
        </r>
      </text>
    </comment>
    <comment ref="B15" authorId="0" shapeId="0">
      <text>
        <r>
          <rPr>
            <sz val="9"/>
            <color indexed="81"/>
            <rFont val="MS P ゴシック"/>
            <family val="3"/>
            <charset val="128"/>
          </rPr>
          <t>常勤でなければならない</t>
        </r>
      </text>
    </comment>
    <comment ref="B16" authorId="0" shapeId="0">
      <text>
        <r>
          <rPr>
            <sz val="9"/>
            <color indexed="81"/>
            <rFont val="MS P ゴシック"/>
            <family val="3"/>
            <charset val="128"/>
          </rPr>
          <t>常勤または非常勤、無資格可</t>
        </r>
      </text>
    </comment>
    <comment ref="B17" authorId="0" shapeId="0">
      <text>
        <r>
          <rPr>
            <sz val="9"/>
            <color indexed="81"/>
            <rFont val="MS P ゴシック"/>
            <family val="3"/>
            <charset val="128"/>
          </rPr>
          <t>常勤または非常勤、幼稚園教諭免許必須</t>
        </r>
      </text>
    </comment>
    <comment ref="B18" authorId="0" shapeId="0">
      <text>
        <r>
          <rPr>
            <sz val="9"/>
            <color indexed="81"/>
            <rFont val="MS P ゴシック"/>
            <family val="3"/>
            <charset val="128"/>
          </rPr>
          <t>特定教育・保育等に要する費用の額の算定に関する基準等の実施上の留意事項について（R2.5.12改正）
１．基本分単価（⑤）
（２）基本分単価に含まれる職員構成
ⅲ 事務職員及び非常勤事務職員
（注）施設長等の職員が兼務する場合又は業務委託する場合は、配置は不要であること。
（注）非常勤事務職員については、１人分の費用（教育標準時間認定子どもに係る利用定員が91人以上の施設に限る。）及び週２日分の費用を算定。</t>
        </r>
      </text>
    </comment>
    <comment ref="C18" authorId="0" shapeId="0">
      <text>
        <r>
          <rPr>
            <b/>
            <sz val="9"/>
            <color indexed="81"/>
            <rFont val="MS P ゴシック"/>
            <family val="3"/>
            <charset val="128"/>
          </rPr>
          <t>園長兼務の場合は「園長兼務」を選択してください</t>
        </r>
      </text>
    </comment>
    <comment ref="D18" authorId="0" shapeId="0">
      <text>
        <r>
          <rPr>
            <b/>
            <sz val="9"/>
            <color indexed="81"/>
            <rFont val="MS P ゴシック"/>
            <family val="3"/>
            <charset val="128"/>
          </rPr>
          <t>園長兼務の場合は「園長兼務」と入力しください</t>
        </r>
      </text>
    </comment>
    <comment ref="I18" authorId="0" shapeId="0">
      <text>
        <r>
          <rPr>
            <b/>
            <sz val="9"/>
            <color indexed="81"/>
            <rFont val="MS P ゴシック"/>
            <family val="3"/>
            <charset val="128"/>
          </rPr>
          <t>園長兼務の場合は空欄にしてください</t>
        </r>
      </text>
    </comment>
    <comment ref="C19" authorId="0" shapeId="0">
      <text>
        <r>
          <rPr>
            <sz val="9"/>
            <color indexed="81"/>
            <rFont val="MS P ゴシック"/>
            <family val="3"/>
            <charset val="128"/>
          </rPr>
          <t>常勤または非常勤</t>
        </r>
      </text>
    </comment>
    <comment ref="D20" authorId="1" shapeId="0">
      <text>
        <r>
          <rPr>
            <b/>
            <sz val="9"/>
            <color indexed="81"/>
            <rFont val="MS P ゴシック"/>
            <family val="3"/>
            <charset val="128"/>
          </rPr>
          <t>外部委託の場合は「外部委託」と入力してください</t>
        </r>
      </text>
    </comment>
    <comment ref="D21" authorId="1" shapeId="0">
      <text>
        <r>
          <rPr>
            <b/>
            <sz val="9"/>
            <color indexed="81"/>
            <rFont val="MS P ゴシック"/>
            <family val="3"/>
            <charset val="128"/>
          </rPr>
          <t>外部委託の場合は「外部委託」と入力してください</t>
        </r>
      </text>
    </comment>
    <comment ref="D22" authorId="1" shapeId="0">
      <text>
        <r>
          <rPr>
            <b/>
            <sz val="9"/>
            <color indexed="81"/>
            <rFont val="MS P ゴシック"/>
            <family val="3"/>
            <charset val="128"/>
          </rPr>
          <t>外部委託の場合は「外部委託」と入力してください</t>
        </r>
      </text>
    </comment>
    <comment ref="C35" authorId="0" shapeId="0">
      <text>
        <r>
          <rPr>
            <b/>
            <sz val="9"/>
            <color indexed="81"/>
            <rFont val="MS P ゴシック"/>
            <family val="3"/>
            <charset val="128"/>
          </rPr>
          <t>幼保連携型認定こども園の学級の編制、職員、設備及び運営に関する基準の運用上の取扱いについて（通知）（R2.2.10改正）
２．職員配置について（基準省令第５条関係）
（２）特例期間中の保育教諭等、助保育教諭又は講師について
（中略）
なお、現行において、乳児４人以上が利用する保育所に勤務する保健師、看護師又は准看護師を、１人に限って、保育士とみなすことができる取扱いとしていることを踏まえ、乳児４人以上が利用する幼保連携型認定こども園に勤務する保健師、看護師又は准看護師を、１人に限って、一部改正法附則第５条に定める登録を受けた者（保育士）とみなすことができるものとし、当該者は、同条に規定する期間に限っては、保育教諭等又は講師として園児の保育に従事することができるものとする（当該者は保育にのみ従事することができるため、学級を担任することはできない）</t>
        </r>
      </text>
    </comment>
    <comment ref="D38" authorId="0" shapeId="0">
      <text>
        <r>
          <rPr>
            <sz val="9"/>
            <color indexed="81"/>
            <rFont val="MS P ゴシック"/>
            <family val="3"/>
            <charset val="128"/>
          </rPr>
          <t>特定教育・保育等に要する費用の額の算定に関する基準等の実施上の留意事項について(R6改定)
（注４）基本分単価の費用の算定上、ⅰ年齢別配置基準の保育教諭等には主幹保育教諭等２人（教育標準時間認定子どもに係る分及び保育認定子どもに係る分でそれぞれ１人ずつ） を配置するための費用 が含まれている。
主幹保育教諭等２人又は１人の配置がなされていない場合は、「主幹保育教諭等の専任化により子育て支援の取組みを実施していない場合」の減額調整を行う必要があること。</t>
        </r>
        <r>
          <rPr>
            <i/>
            <sz val="9"/>
            <color indexed="81"/>
            <rFont val="MS P ゴシック"/>
            <family val="3"/>
            <charset val="128"/>
          </rPr>
          <t>（※1号認定の定員が0人で利用者もいない場合は主幹1人でもＯＫ）</t>
        </r>
        <r>
          <rPr>
            <sz val="9"/>
            <color indexed="81"/>
            <rFont val="MS P ゴシック"/>
            <family val="3"/>
            <charset val="128"/>
          </rPr>
          <t xml:space="preserve">
また、主幹保育教諭等が１人しか配置されていない場合は、 教育標準時間認定又 は保育認定のいずれか一方を減算調整すること。
別紙４（認定こども園（保育認定２・３号））における「教育標準時間認定子どもの利用定員を設定しない場合（⑯）」の調整を受ける施設の 場合については、主幹保育教諭等及び代替保育教諭は 保育認定に係る それぞれ１人ずつ の配置があれば足り ること。また、第４（１）に定める基本分単価において充足すべき職員と各加算に係る取扱いにおいては、主幹保育教諭等２人又は１人が配置されていない場合も、必要となる基本分単価において充足すべき年齢別配置基準職員数及び年齢別配置基準職員を補完する職員数を満たす場合は、基本分単価において充足すべき職員数を満たしていると取り扱って差し支えないこと。</t>
        </r>
      </text>
    </comment>
    <comment ref="B40" authorId="0" shapeId="0">
      <text>
        <r>
          <rPr>
            <sz val="9"/>
            <color indexed="81"/>
            <rFont val="MS P ゴシック"/>
            <family val="3"/>
            <charset val="128"/>
          </rPr>
          <t>副園長の設置は任意、常勤でなければならない</t>
        </r>
      </text>
    </comment>
  </commentList>
</comments>
</file>

<file path=xl/comments4.xml><?xml version="1.0" encoding="utf-8"?>
<comments xmlns="http://schemas.openxmlformats.org/spreadsheetml/2006/main">
  <authors>
    <author>三木市役所</author>
  </authors>
  <commentList>
    <comment ref="A1" authorId="0" shapeId="0">
      <text>
        <r>
          <rPr>
            <b/>
            <sz val="9"/>
            <color indexed="17"/>
            <rFont val="MS P ゴシック"/>
            <family val="3"/>
            <charset val="128"/>
          </rPr>
          <t>※それぞれの加算適用条件（職員配置や職員数等）を満たしていない場合は【適用不可】と表示されます。
意図しない適用不可が出ている場合は、各加算の関係性を踏まえて、①基本情報や③職員名簿シートの入力状況を見直してください。</t>
        </r>
      </text>
    </comment>
    <comment ref="I21" authorId="0" shapeId="0">
      <text>
        <r>
          <rPr>
            <b/>
            <sz val="9"/>
            <color indexed="81"/>
            <rFont val="MS P ゴシック"/>
            <family val="3"/>
            <charset val="128"/>
          </rPr>
          <t>主幹教諭専任化をしていない場合は加算不可。</t>
        </r>
        <r>
          <rPr>
            <sz val="9"/>
            <color indexed="81"/>
            <rFont val="MS P ゴシック"/>
            <family val="3"/>
            <charset val="128"/>
          </rPr>
          <t xml:space="preserve">
</t>
        </r>
      </text>
    </comment>
    <comment ref="H22" authorId="0" shapeId="0">
      <text>
        <r>
          <rPr>
            <b/>
            <sz val="9"/>
            <color indexed="81"/>
            <rFont val="MS P ゴシック"/>
            <family val="3"/>
            <charset val="128"/>
          </rPr>
          <t>１号・２号・３号の利用定員の合計が９０人以下の施設は加算不可。</t>
        </r>
        <r>
          <rPr>
            <sz val="9"/>
            <color indexed="81"/>
            <rFont val="MS P ゴシック"/>
            <family val="3"/>
            <charset val="128"/>
          </rPr>
          <t xml:space="preserve">
</t>
        </r>
      </text>
    </comment>
    <comment ref="H30" authorId="0" shapeId="0">
      <text>
        <r>
          <rPr>
            <b/>
            <sz val="9"/>
            <color indexed="81"/>
            <rFont val="MS P ゴシック"/>
            <family val="3"/>
            <charset val="128"/>
          </rPr>
          <t>以下の事業等を１つ以上実施する場合に加算可能。
ⅰ　延長保育事業
ⅱ　一般型一時預かり事業
ⅲ　病児保育事業
ⅳ　０歳児に対する教育・保育の提供
ⅴ　障害児に対する教育・保育の提供</t>
        </r>
      </text>
    </comment>
    <comment ref="H31" authorId="0" shapeId="0">
      <text>
        <r>
          <rPr>
            <b/>
            <sz val="9"/>
            <color indexed="81"/>
            <rFont val="MS P ゴシック"/>
            <family val="3"/>
            <charset val="128"/>
          </rPr>
          <t>以下の事業等を複数実施する場合に加算可能。
ⅰ　延長保育事業
ⅱ　幼稚園型一時預かり事業
ⅲ　一般型一時預かり事業
ⅳ　病児保育事業
ⅴ　満３歳１号に対する教育・保育の提供
ⅵ　０歳児に対する教育・保育の提供
ⅶ　障害児に対する教育・保育の提供</t>
        </r>
      </text>
    </comment>
  </commentList>
</comments>
</file>

<file path=xl/comments5.xml><?xml version="1.0" encoding="utf-8"?>
<comments xmlns="http://schemas.openxmlformats.org/spreadsheetml/2006/main">
  <authors>
    <author>三木市役所</author>
  </authors>
  <commentList>
    <comment ref="B1" authorId="0" shapeId="0">
      <text>
        <r>
          <rPr>
            <b/>
            <sz val="11"/>
            <color indexed="17"/>
            <rFont val="MS P ゴシック"/>
            <family val="3"/>
            <charset val="128"/>
          </rPr>
          <t>このシートは確認用のため、入力箇所はありません。</t>
        </r>
      </text>
    </comment>
    <comment ref="M18" authorId="0" shapeId="0">
      <text>
        <r>
          <rPr>
            <sz val="9"/>
            <color indexed="81"/>
            <rFont val="MS P ゴシック"/>
            <family val="3"/>
            <charset val="128"/>
          </rPr>
          <t>【参考】
幼保連携型認定こども園の学級の編制、職員、設備及び運営に関する基準の運用上の取扱いについて（通知）（R2.2.10改定）
２．職員配置について（基準省令第５条関係）
（１）園児の教育及び保育に直接従事する職員の数の算定方法について
幼保連携型認定こども園に配置すべき園児の教育及び保育（満３歳未満の園児については、その保育。以下同じ。）に直接従事する職員の数の算定方法は、基準省令第５条第３項の規定のとおりであるが、その具体的な算定に当たっては、以下のとおり、年齢別に、園児の数を配置基準で除して小数点第１位まで求め（小数点第２位以下切捨て）、各々を合計した後に小数点以下を四捨五入することによるものとする。
必要配置数＝（０歳児の数×１／３）
＋｛（１歳児の数＋２歳児の数）×１／６｝
＋（３歳児の数×１／２０）
＋｛（４歳児の数＋５歳児の数）×１／３０｝</t>
        </r>
      </text>
    </comment>
    <comment ref="M23" authorId="0" shapeId="0">
      <text>
        <r>
          <rPr>
            <sz val="9"/>
            <color indexed="81"/>
            <rFont val="MS P ゴシック"/>
            <family val="3"/>
            <charset val="128"/>
          </rPr>
          <t>【参考】
一時預かり事業の実施について（R2.4.1改正）
④ 職員の配置
　規則第36 条の35 第２号ロ（附則第56 条第１項において読替え）及びハに基づき、幼児の年齢及び人数に応じて当該幼児の処遇を行う者（以下「教育・保育従事者」という。）を配置し、そのうち保育士又は幼稚園教諭普通免許状所有者を１／２以上とすること（ただし、当分の間の措置として１／３以上とすることも可）。
　当該教育・保育従事者の数は２名を下ることはできないこと。ただし、幼稚園等と一体的に事業を実施し、当該幼稚園等の職員（保育士又は幼稚園教諭免許状所有者に限る。）による支援を受けられる場合には、保育士又は幼稚園教諭普通免許状所有者１名で処遇ができる乳幼児数の範囲内において、教育・保育従事者を</t>
        </r>
        <r>
          <rPr>
            <b/>
            <sz val="9"/>
            <color indexed="81"/>
            <rFont val="MS P ゴシック"/>
            <family val="3"/>
            <charset val="128"/>
          </rPr>
          <t>保育士又は幼稚園教諭普通免許状所有者１名とする</t>
        </r>
        <r>
          <rPr>
            <sz val="9"/>
            <color indexed="81"/>
            <rFont val="MS P ゴシック"/>
            <family val="3"/>
            <charset val="128"/>
          </rPr>
          <t>ことができること。また、保育士又は幼稚園免許状所有者以外の教育・保育従事者の配置は、アに掲げる者又はイからオまでに掲げる者で市町村が適切と認める者とすること。なお、イからオまでに掲げる者を配置する場合には、園内研修を定期的に実施することなどにより、預かり業務に従事する上で必要な知識・技術等を十分に身につけさせる必要があること。
ア 市町村長等が行う研修を修了した者
イ 小学校教諭普通免許状所有者
ウ 養護教諭普通免許状所有者
エ 幼稚園教諭教職課程又は保育士養成課程を履修中の学生で、幼児の心身の発達や幼児に対する教育・保育に係る基礎的な知識を習得していると認められる者
オ 幼稚園教諭、小学校教諭又は養護教諭の普通免許状を有していた者（教育職員免許法（昭和24 年法律第147 号）第10 条第1 項又は第11 条第4 項の規定により免許状が失効した者を除く。）</t>
        </r>
      </text>
    </comment>
    <comment ref="M27" authorId="0" shapeId="0">
      <text>
        <r>
          <rPr>
            <sz val="9"/>
            <color indexed="81"/>
            <rFont val="MS P ゴシック"/>
            <family val="3"/>
            <charset val="128"/>
          </rPr>
          <t>【参考】
特定教育・保育等に要する費用の額の算定に関する基準等の実施上の留意事項について（R2.5.12改正）
Ⅱ 基本部分
１．基本分単価（⑤）
（ア）保育教諭等
ⅱ その他（※）
ａ 保育認定子どもに係る利用定員が90人以下の施設については１人
ｂ 保育標準時間認定を受けた子どもが利用する施設については１人（注１）
ｃ 主幹保育教諭等２人を専任化させるための代替保育教諭等を２人（うち１人は非常勤講師等でも可とする）（注2）
ｄ 上記ⅰ及びⅱのａ、ｂの保育教諭等１人当たり、研修代替保育教諭等として年間３日分の費用を算定（保育認定子どもの人数に係る保育教諭等に限る。）（注３）
（注１）保育認定子どもに係る利用定員に占める保育標準時間認定を受けた子どもの人数の割合が低い場合は非常勤の講師としても差し支えないこと。
（注２）当該代替保育教諭等の配置により、主幹保育教諭等を教育・保育計画の立案や地域の子育て支援活動等の業務に専任させ、保護者や地域住民からの教育・育児相談、地域の子育て支援活動等に積極的に取り組むこと。
（注３）当該費用については、非常勤講師等の人件費、保育教諭等が研修を受講する際の受講費用又は時間外における研修受講の際の時間外手当等に充当しても差し支えないこと。</t>
        </r>
      </text>
    </comment>
    <comment ref="O37" authorId="0" shapeId="0">
      <text>
        <r>
          <rPr>
            <sz val="9"/>
            <color indexed="81"/>
            <rFont val="MS P ゴシック"/>
            <family val="3"/>
            <charset val="128"/>
          </rPr>
          <t>【参考】
特定教育・保育等に要する費用の額の算定に関する基準等の実施上の留意事項について（R2.5.12改正）
Ⅲ 基本加算部分
７．チーム保育加配加算（⑤）
（１）加算の要件
（注２）「必要保育教諭等の数」を超えて配置する保育教諭等の数に応じ、以下のとおり取り扱うこととする。
① 常勤換算人数（小数点第２位以下切り捨て、小数点第１位四捨五入前）による配置保育教諭等の数から「必要保育教諭等の数」を減じて得た員数が３人未満の場合小数点第１位を四捨五入した員数とする。
（例）２．３人の場合、２人
② 常勤換算人数（小数点第２位以下切り捨て、小数点第１位四捨五入前）による配置保育教諭等の数から「必要保育教諭等の数」を減じて得た員数が３人以上の場合小数点第１位が１又は２のときは小数点第１位を切り捨て、小数点第１位が３又は４のときは小数点第１位を０．５とし、小数点第１位が５以上のときは小数点第１位を切り上げて得た員数とする。
（例）3.2人の場合→3人、3.4人の場合→3.5人、3.6人の場合→4人</t>
        </r>
      </text>
    </comment>
  </commentList>
</comments>
</file>

<file path=xl/comments6.xml><?xml version="1.0" encoding="utf-8"?>
<comments xmlns="http://schemas.openxmlformats.org/spreadsheetml/2006/main">
  <authors>
    <author>三木市役所</author>
  </authors>
  <commentList>
    <comment ref="B24" authorId="0" shapeId="0">
      <text>
        <r>
          <rPr>
            <sz val="9"/>
            <color indexed="81"/>
            <rFont val="MS P ゴシック"/>
            <family val="3"/>
            <charset val="128"/>
          </rPr>
          <t xml:space="preserve">・「非常勤（実人数）」については、障害児保育に従事する勤務時間に限定せず、障害児保育のために加配された職員数を記入すること。
　※１
　「全職員数」から「障害児保育のための加配職員数」を控除した数は、保育施設における職員の配置基準から算出される標準的な職員数を下回ることがないことに注意すること。
　※２　
　国庫補助（保育対策総合支援事業費補助金等）を受けて配置している職員を加配職員に含めないよう注意すること。
</t>
        </r>
      </text>
    </comment>
  </commentList>
</comments>
</file>

<file path=xl/sharedStrings.xml><?xml version="1.0" encoding="utf-8"?>
<sst xmlns="http://schemas.openxmlformats.org/spreadsheetml/2006/main" count="957" uniqueCount="390">
  <si>
    <t>0歳児</t>
    <rPh sb="1" eb="3">
      <t>サイジ</t>
    </rPh>
    <phoneticPr fontId="1"/>
  </si>
  <si>
    <t>1歳児</t>
    <rPh sb="1" eb="3">
      <t>サイジ</t>
    </rPh>
    <phoneticPr fontId="1"/>
  </si>
  <si>
    <t>2歳児</t>
    <rPh sb="1" eb="3">
      <t>サイジ</t>
    </rPh>
    <phoneticPr fontId="1"/>
  </si>
  <si>
    <t>3歳児</t>
    <rPh sb="1" eb="3">
      <t>サイジ</t>
    </rPh>
    <phoneticPr fontId="1"/>
  </si>
  <si>
    <t>4歳児</t>
    <rPh sb="1" eb="3">
      <t>サイジ</t>
    </rPh>
    <phoneticPr fontId="1"/>
  </si>
  <si>
    <t>5歳児</t>
    <rPh sb="1" eb="3">
      <t>サイジ</t>
    </rPh>
    <phoneticPr fontId="1"/>
  </si>
  <si>
    <t>1号認定</t>
    <rPh sb="1" eb="2">
      <t>ゴウ</t>
    </rPh>
    <rPh sb="2" eb="4">
      <t>ニンテイ</t>
    </rPh>
    <phoneticPr fontId="1"/>
  </si>
  <si>
    <t>2号認定</t>
    <rPh sb="1" eb="2">
      <t>ゴウ</t>
    </rPh>
    <rPh sb="2" eb="4">
      <t>ニンテイ</t>
    </rPh>
    <phoneticPr fontId="1"/>
  </si>
  <si>
    <t>3号認定</t>
    <rPh sb="1" eb="2">
      <t>ゴウ</t>
    </rPh>
    <rPh sb="2" eb="4">
      <t>ニンテイ</t>
    </rPh>
    <phoneticPr fontId="1"/>
  </si>
  <si>
    <t>計</t>
    <rPh sb="0" eb="1">
      <t>ケイ</t>
    </rPh>
    <phoneticPr fontId="1"/>
  </si>
  <si>
    <t>資格・免許等</t>
    <rPh sb="0" eb="2">
      <t>シカク</t>
    </rPh>
    <rPh sb="3" eb="5">
      <t>メンキョ</t>
    </rPh>
    <rPh sb="5" eb="6">
      <t>トウ</t>
    </rPh>
    <phoneticPr fontId="1"/>
  </si>
  <si>
    <t>番号</t>
    <rPh sb="0" eb="2">
      <t>バンゴウ</t>
    </rPh>
    <phoneticPr fontId="1"/>
  </si>
  <si>
    <t>園長</t>
    <rPh sb="0" eb="2">
      <t>エンチョウ</t>
    </rPh>
    <phoneticPr fontId="1"/>
  </si>
  <si>
    <t>月間勤務時間</t>
    <rPh sb="0" eb="2">
      <t>ゲッカン</t>
    </rPh>
    <rPh sb="2" eb="4">
      <t>キンム</t>
    </rPh>
    <rPh sb="4" eb="6">
      <t>ジカン</t>
    </rPh>
    <phoneticPr fontId="1"/>
  </si>
  <si>
    <t>備考</t>
    <rPh sb="0" eb="2">
      <t>ビコウ</t>
    </rPh>
    <phoneticPr fontId="1"/>
  </si>
  <si>
    <t>勤務
区分</t>
    <rPh sb="0" eb="2">
      <t>キンム</t>
    </rPh>
    <rPh sb="3" eb="5">
      <t>クブン</t>
    </rPh>
    <phoneticPr fontId="1"/>
  </si>
  <si>
    <t>〇</t>
    <phoneticPr fontId="1"/>
  </si>
  <si>
    <t>番号</t>
    <rPh sb="0" eb="2">
      <t>バンゴウ</t>
    </rPh>
    <phoneticPr fontId="1"/>
  </si>
  <si>
    <t>児童氏名</t>
    <rPh sb="0" eb="2">
      <t>ジドウ</t>
    </rPh>
    <rPh sb="2" eb="4">
      <t>シメイ</t>
    </rPh>
    <phoneticPr fontId="1"/>
  </si>
  <si>
    <t>児童生年月日</t>
    <rPh sb="0" eb="2">
      <t>ジドウ</t>
    </rPh>
    <rPh sb="2" eb="4">
      <t>セイネン</t>
    </rPh>
    <rPh sb="4" eb="6">
      <t>ガッピ</t>
    </rPh>
    <phoneticPr fontId="1"/>
  </si>
  <si>
    <t>認定区分</t>
    <rPh sb="0" eb="2">
      <t>ニンテイ</t>
    </rPh>
    <rPh sb="2" eb="4">
      <t>クブン</t>
    </rPh>
    <phoneticPr fontId="1"/>
  </si>
  <si>
    <t>認定時間</t>
    <rPh sb="0" eb="2">
      <t>ニンテイ</t>
    </rPh>
    <rPh sb="2" eb="4">
      <t>ジカン</t>
    </rPh>
    <phoneticPr fontId="1"/>
  </si>
  <si>
    <t>備考</t>
    <rPh sb="0" eb="2">
      <t>ビコウ</t>
    </rPh>
    <phoneticPr fontId="1"/>
  </si>
  <si>
    <t>クラス</t>
    <phoneticPr fontId="1"/>
  </si>
  <si>
    <t>年度の初日</t>
    <rPh sb="0" eb="2">
      <t>ネンド</t>
    </rPh>
    <rPh sb="3" eb="5">
      <t>ショニチ</t>
    </rPh>
    <phoneticPr fontId="1"/>
  </si>
  <si>
    <t>時間／月</t>
    <rPh sb="0" eb="2">
      <t>ジカン</t>
    </rPh>
    <rPh sb="3" eb="4">
      <t>ツキ</t>
    </rPh>
    <phoneticPr fontId="1"/>
  </si>
  <si>
    <t>療育支援加算対象補助者</t>
    <rPh sb="0" eb="2">
      <t>リョウイク</t>
    </rPh>
    <rPh sb="2" eb="4">
      <t>シエン</t>
    </rPh>
    <rPh sb="4" eb="6">
      <t>カサン</t>
    </rPh>
    <rPh sb="6" eb="8">
      <t>タイショウ</t>
    </rPh>
    <rPh sb="8" eb="10">
      <t>ホジョ</t>
    </rPh>
    <rPh sb="10" eb="11">
      <t>モノ</t>
    </rPh>
    <phoneticPr fontId="1"/>
  </si>
  <si>
    <t>時点</t>
    <rPh sb="0" eb="2">
      <t>ジテン</t>
    </rPh>
    <phoneticPr fontId="1"/>
  </si>
  <si>
    <t>正規雇用職員の月間勤務時間</t>
    <rPh sb="0" eb="2">
      <t>セイキ</t>
    </rPh>
    <rPh sb="2" eb="4">
      <t>コヨウ</t>
    </rPh>
    <rPh sb="4" eb="6">
      <t>ショクイン</t>
    </rPh>
    <rPh sb="7" eb="9">
      <t>ゲッカン</t>
    </rPh>
    <rPh sb="9" eb="11">
      <t>キンム</t>
    </rPh>
    <rPh sb="11" eb="13">
      <t>ジカン</t>
    </rPh>
    <phoneticPr fontId="1"/>
  </si>
  <si>
    <t>延長保育事業を実施している</t>
    <rPh sb="0" eb="2">
      <t>エンチョウ</t>
    </rPh>
    <rPh sb="2" eb="4">
      <t>ホイク</t>
    </rPh>
    <rPh sb="4" eb="6">
      <t>ジギョウ</t>
    </rPh>
    <rPh sb="7" eb="9">
      <t>ジッシ</t>
    </rPh>
    <phoneticPr fontId="1"/>
  </si>
  <si>
    <t>病児保育事業を実施している</t>
    <rPh sb="0" eb="1">
      <t>ビョウ</t>
    </rPh>
    <rPh sb="1" eb="2">
      <t>ジ</t>
    </rPh>
    <rPh sb="2" eb="4">
      <t>ホイク</t>
    </rPh>
    <rPh sb="4" eb="6">
      <t>ジギョウ</t>
    </rPh>
    <rPh sb="7" eb="9">
      <t>ジッシ</t>
    </rPh>
    <phoneticPr fontId="1"/>
  </si>
  <si>
    <t>幼稚園型一時預かり事業を実施している</t>
    <rPh sb="0" eb="3">
      <t>ヨウチエン</t>
    </rPh>
    <rPh sb="3" eb="4">
      <t>ガタ</t>
    </rPh>
    <rPh sb="4" eb="6">
      <t>イチジ</t>
    </rPh>
    <rPh sb="6" eb="7">
      <t>アズ</t>
    </rPh>
    <rPh sb="9" eb="11">
      <t>ジギョウ</t>
    </rPh>
    <rPh sb="12" eb="14">
      <t>ジッシ</t>
    </rPh>
    <phoneticPr fontId="1"/>
  </si>
  <si>
    <t>一般型一時預かり事業を実施している</t>
    <rPh sb="0" eb="2">
      <t>イッパン</t>
    </rPh>
    <rPh sb="2" eb="3">
      <t>ガタ</t>
    </rPh>
    <rPh sb="3" eb="5">
      <t>イチジ</t>
    </rPh>
    <rPh sb="5" eb="6">
      <t>アズ</t>
    </rPh>
    <rPh sb="8" eb="10">
      <t>ジギョウ</t>
    </rPh>
    <rPh sb="11" eb="13">
      <t>ジッシ</t>
    </rPh>
    <phoneticPr fontId="1"/>
  </si>
  <si>
    <t>月の初日に満3歳1号が在籍している</t>
    <rPh sb="0" eb="1">
      <t>ツキ</t>
    </rPh>
    <rPh sb="2" eb="4">
      <t>ショニチ</t>
    </rPh>
    <rPh sb="5" eb="6">
      <t>マン</t>
    </rPh>
    <rPh sb="7" eb="8">
      <t>サイ</t>
    </rPh>
    <rPh sb="9" eb="10">
      <t>ゴウ</t>
    </rPh>
    <rPh sb="11" eb="13">
      <t>ザイセキ</t>
    </rPh>
    <phoneticPr fontId="1"/>
  </si>
  <si>
    <t>月の初日に障害児が在籍している</t>
    <rPh sb="0" eb="1">
      <t>ツキ</t>
    </rPh>
    <rPh sb="2" eb="4">
      <t>ショニチ</t>
    </rPh>
    <rPh sb="5" eb="7">
      <t>ショウガイ</t>
    </rPh>
    <rPh sb="7" eb="8">
      <t>ジ</t>
    </rPh>
    <rPh sb="9" eb="11">
      <t>ザイセキ</t>
    </rPh>
    <phoneticPr fontId="1"/>
  </si>
  <si>
    <t>月の初日に0歳児が3人以上在籍している</t>
    <rPh sb="0" eb="1">
      <t>ツキ</t>
    </rPh>
    <rPh sb="2" eb="4">
      <t>ショニチ</t>
    </rPh>
    <rPh sb="6" eb="8">
      <t>サイジ</t>
    </rPh>
    <rPh sb="10" eb="13">
      <t>ニンイジョウ</t>
    </rPh>
    <rPh sb="13" eb="15">
      <t>ザイセキ</t>
    </rPh>
    <phoneticPr fontId="1"/>
  </si>
  <si>
    <t>1号</t>
    <rPh sb="1" eb="2">
      <t>ゴウ</t>
    </rPh>
    <phoneticPr fontId="1"/>
  </si>
  <si>
    <t>2・3号</t>
    <rPh sb="3" eb="4">
      <t>ゴウ</t>
    </rPh>
    <phoneticPr fontId="1"/>
  </si>
  <si>
    <t>施設・事業所名</t>
    <rPh sb="0" eb="2">
      <t>シセツ</t>
    </rPh>
    <rPh sb="3" eb="6">
      <t>ジギョウショ</t>
    </rPh>
    <rPh sb="6" eb="7">
      <t>メイ</t>
    </rPh>
    <phoneticPr fontId="1"/>
  </si>
  <si>
    <t>職員数
換算対象外</t>
    <rPh sb="0" eb="2">
      <t>ショクイン</t>
    </rPh>
    <rPh sb="2" eb="3">
      <t>スウ</t>
    </rPh>
    <rPh sb="4" eb="6">
      <t>カンサン</t>
    </rPh>
    <rPh sb="6" eb="8">
      <t>タイショウ</t>
    </rPh>
    <rPh sb="8" eb="9">
      <t>ガイ</t>
    </rPh>
    <phoneticPr fontId="1"/>
  </si>
  <si>
    <t>障害児は手帳の有無は問わない</t>
    <rPh sb="0" eb="2">
      <t>ショウガイ</t>
    </rPh>
    <rPh sb="2" eb="3">
      <t>ジ</t>
    </rPh>
    <rPh sb="4" eb="6">
      <t>テチョウ</t>
    </rPh>
    <rPh sb="7" eb="9">
      <t>ウム</t>
    </rPh>
    <rPh sb="10" eb="11">
      <t>ト</t>
    </rPh>
    <phoneticPr fontId="1"/>
  </si>
  <si>
    <t>処遇改善等加算Ⅰ</t>
    <rPh sb="0" eb="2">
      <t>ショグウ</t>
    </rPh>
    <rPh sb="2" eb="4">
      <t>カイゼン</t>
    </rPh>
    <rPh sb="4" eb="5">
      <t>トウ</t>
    </rPh>
    <rPh sb="5" eb="7">
      <t>カサン</t>
    </rPh>
    <phoneticPr fontId="1"/>
  </si>
  <si>
    <t>副園長・教頭配置加算</t>
    <rPh sb="0" eb="3">
      <t>フクエンチョウ</t>
    </rPh>
    <rPh sb="4" eb="6">
      <t>キョウトウ</t>
    </rPh>
    <rPh sb="6" eb="8">
      <t>ハイチ</t>
    </rPh>
    <rPh sb="8" eb="10">
      <t>カサン</t>
    </rPh>
    <phoneticPr fontId="1"/>
  </si>
  <si>
    <t>通園送迎加算</t>
    <rPh sb="0" eb="2">
      <t>ツウエン</t>
    </rPh>
    <rPh sb="2" eb="4">
      <t>ソウゲイ</t>
    </rPh>
    <rPh sb="4" eb="6">
      <t>カサン</t>
    </rPh>
    <phoneticPr fontId="1"/>
  </si>
  <si>
    <t>給食実施加算</t>
    <rPh sb="0" eb="2">
      <t>キュウショク</t>
    </rPh>
    <rPh sb="2" eb="4">
      <t>ジッシ</t>
    </rPh>
    <rPh sb="4" eb="6">
      <t>カサン</t>
    </rPh>
    <phoneticPr fontId="1"/>
  </si>
  <si>
    <t>外部監査費加算</t>
    <rPh sb="0" eb="2">
      <t>ガイブ</t>
    </rPh>
    <rPh sb="2" eb="4">
      <t>カンサ</t>
    </rPh>
    <rPh sb="4" eb="5">
      <t>ヒ</t>
    </rPh>
    <rPh sb="5" eb="7">
      <t>カサン</t>
    </rPh>
    <phoneticPr fontId="1"/>
  </si>
  <si>
    <t>休日保育加算</t>
    <rPh sb="0" eb="2">
      <t>キュウジツ</t>
    </rPh>
    <rPh sb="2" eb="4">
      <t>ホイク</t>
    </rPh>
    <rPh sb="4" eb="6">
      <t>カサン</t>
    </rPh>
    <phoneticPr fontId="1"/>
  </si>
  <si>
    <t>夜間保育加算</t>
    <rPh sb="0" eb="2">
      <t>ヤカン</t>
    </rPh>
    <rPh sb="2" eb="4">
      <t>ホイク</t>
    </rPh>
    <rPh sb="4" eb="6">
      <t>カサン</t>
    </rPh>
    <phoneticPr fontId="1"/>
  </si>
  <si>
    <t>減価償却費加算</t>
    <rPh sb="0" eb="2">
      <t>ゲンカ</t>
    </rPh>
    <rPh sb="2" eb="4">
      <t>ショウキャク</t>
    </rPh>
    <rPh sb="4" eb="5">
      <t>ヒ</t>
    </rPh>
    <rPh sb="5" eb="7">
      <t>カサン</t>
    </rPh>
    <phoneticPr fontId="1"/>
  </si>
  <si>
    <t>賃借料加算</t>
    <rPh sb="0" eb="3">
      <t>チンシャクリョウ</t>
    </rPh>
    <rPh sb="3" eb="5">
      <t>カサン</t>
    </rPh>
    <phoneticPr fontId="1"/>
  </si>
  <si>
    <t>加減調整部分</t>
    <rPh sb="0" eb="2">
      <t>カゲン</t>
    </rPh>
    <rPh sb="2" eb="4">
      <t>チョウセイ</t>
    </rPh>
    <rPh sb="4" eb="6">
      <t>ブブン</t>
    </rPh>
    <phoneticPr fontId="1"/>
  </si>
  <si>
    <t>教育標準時間認定子どもの利用定員を設定しない場合</t>
    <rPh sb="0" eb="2">
      <t>キョウイク</t>
    </rPh>
    <rPh sb="2" eb="4">
      <t>ヒョウジュン</t>
    </rPh>
    <rPh sb="4" eb="6">
      <t>ジカン</t>
    </rPh>
    <rPh sb="6" eb="8">
      <t>ニンテイ</t>
    </rPh>
    <rPh sb="8" eb="9">
      <t>コ</t>
    </rPh>
    <rPh sb="12" eb="14">
      <t>リヨウ</t>
    </rPh>
    <rPh sb="14" eb="16">
      <t>テイイン</t>
    </rPh>
    <rPh sb="17" eb="19">
      <t>セッテイ</t>
    </rPh>
    <rPh sb="22" eb="24">
      <t>バアイ</t>
    </rPh>
    <phoneticPr fontId="1"/>
  </si>
  <si>
    <t>分園の場合</t>
    <rPh sb="0" eb="2">
      <t>ブンエン</t>
    </rPh>
    <rPh sb="3" eb="5">
      <t>バアイ</t>
    </rPh>
    <phoneticPr fontId="1"/>
  </si>
  <si>
    <t>常態的に土曜日に閉所する場合</t>
    <rPh sb="0" eb="2">
      <t>ジョウタイ</t>
    </rPh>
    <rPh sb="2" eb="3">
      <t>テキ</t>
    </rPh>
    <rPh sb="4" eb="7">
      <t>ドヨウビ</t>
    </rPh>
    <rPh sb="8" eb="10">
      <t>ヘイショ</t>
    </rPh>
    <rPh sb="12" eb="14">
      <t>バアイ</t>
    </rPh>
    <phoneticPr fontId="1"/>
  </si>
  <si>
    <t>年齢別配置基準を下回る場合</t>
    <rPh sb="0" eb="2">
      <t>ネンレイ</t>
    </rPh>
    <rPh sb="2" eb="3">
      <t>ベツ</t>
    </rPh>
    <rPh sb="3" eb="5">
      <t>ハイチ</t>
    </rPh>
    <rPh sb="5" eb="7">
      <t>キジュン</t>
    </rPh>
    <rPh sb="8" eb="10">
      <t>シタマワ</t>
    </rPh>
    <rPh sb="11" eb="13">
      <t>バアイ</t>
    </rPh>
    <phoneticPr fontId="1"/>
  </si>
  <si>
    <t>配置基準上求められる職員資格を有しない場合</t>
    <rPh sb="0" eb="2">
      <t>ハイチ</t>
    </rPh>
    <rPh sb="2" eb="4">
      <t>キジュン</t>
    </rPh>
    <rPh sb="4" eb="5">
      <t>ジョウ</t>
    </rPh>
    <rPh sb="5" eb="6">
      <t>モト</t>
    </rPh>
    <rPh sb="10" eb="12">
      <t>ショクイン</t>
    </rPh>
    <rPh sb="12" eb="14">
      <t>シカク</t>
    </rPh>
    <rPh sb="15" eb="16">
      <t>ユウ</t>
    </rPh>
    <rPh sb="19" eb="21">
      <t>バアイ</t>
    </rPh>
    <phoneticPr fontId="1"/>
  </si>
  <si>
    <t>施設長に係る経過措置が適用されている場合</t>
    <rPh sb="0" eb="2">
      <t>シセツ</t>
    </rPh>
    <rPh sb="2" eb="3">
      <t>チョウ</t>
    </rPh>
    <rPh sb="4" eb="5">
      <t>カカ</t>
    </rPh>
    <rPh sb="6" eb="8">
      <t>ケイカ</t>
    </rPh>
    <rPh sb="8" eb="10">
      <t>ソチ</t>
    </rPh>
    <rPh sb="11" eb="13">
      <t>テキヨウ</t>
    </rPh>
    <rPh sb="18" eb="20">
      <t>バアイ</t>
    </rPh>
    <phoneticPr fontId="1"/>
  </si>
  <si>
    <t>乗除調整部分</t>
    <rPh sb="0" eb="2">
      <t>ジョウジョ</t>
    </rPh>
    <rPh sb="2" eb="4">
      <t>チョウセイ</t>
    </rPh>
    <rPh sb="4" eb="6">
      <t>ブブン</t>
    </rPh>
    <phoneticPr fontId="1"/>
  </si>
  <si>
    <t>特定加算部分</t>
    <rPh sb="0" eb="2">
      <t>トクテイ</t>
    </rPh>
    <rPh sb="2" eb="4">
      <t>カサン</t>
    </rPh>
    <rPh sb="4" eb="6">
      <t>ブブン</t>
    </rPh>
    <phoneticPr fontId="1"/>
  </si>
  <si>
    <t>指導充実加配加算</t>
    <rPh sb="0" eb="2">
      <t>シドウ</t>
    </rPh>
    <rPh sb="2" eb="4">
      <t>ジュウジツ</t>
    </rPh>
    <rPh sb="4" eb="6">
      <t>カハイ</t>
    </rPh>
    <rPh sb="6" eb="8">
      <t>カサン</t>
    </rPh>
    <phoneticPr fontId="1"/>
  </si>
  <si>
    <t>事務負担対応加配加算</t>
    <rPh sb="0" eb="2">
      <t>ジム</t>
    </rPh>
    <rPh sb="2" eb="4">
      <t>フタン</t>
    </rPh>
    <rPh sb="4" eb="6">
      <t>タイオウ</t>
    </rPh>
    <rPh sb="6" eb="8">
      <t>カハイ</t>
    </rPh>
    <rPh sb="8" eb="10">
      <t>カサン</t>
    </rPh>
    <phoneticPr fontId="1"/>
  </si>
  <si>
    <t>処遇改善等加算Ⅱ</t>
    <rPh sb="0" eb="2">
      <t>ショグウ</t>
    </rPh>
    <rPh sb="2" eb="4">
      <t>カイゼン</t>
    </rPh>
    <rPh sb="4" eb="5">
      <t>トウ</t>
    </rPh>
    <rPh sb="5" eb="7">
      <t>カサン</t>
    </rPh>
    <phoneticPr fontId="1"/>
  </si>
  <si>
    <t>冷暖房費加算</t>
    <rPh sb="0" eb="3">
      <t>レイダンボウ</t>
    </rPh>
    <rPh sb="3" eb="4">
      <t>ヒ</t>
    </rPh>
    <rPh sb="4" eb="6">
      <t>カサン</t>
    </rPh>
    <phoneticPr fontId="1"/>
  </si>
  <si>
    <t>施設関係者評価加算</t>
    <rPh sb="0" eb="2">
      <t>シセツ</t>
    </rPh>
    <rPh sb="2" eb="5">
      <t>カンケイシャ</t>
    </rPh>
    <rPh sb="5" eb="7">
      <t>ヒョウカ</t>
    </rPh>
    <rPh sb="7" eb="9">
      <t>カサン</t>
    </rPh>
    <phoneticPr fontId="1"/>
  </si>
  <si>
    <t>除雪費加算</t>
    <rPh sb="0" eb="2">
      <t>ジョセツ</t>
    </rPh>
    <rPh sb="2" eb="3">
      <t>ヒ</t>
    </rPh>
    <rPh sb="3" eb="5">
      <t>カサン</t>
    </rPh>
    <phoneticPr fontId="1"/>
  </si>
  <si>
    <t>降灰除去費加算</t>
    <rPh sb="0" eb="2">
      <t>コウハイ</t>
    </rPh>
    <rPh sb="2" eb="4">
      <t>ジョキョ</t>
    </rPh>
    <rPh sb="4" eb="5">
      <t>ヒ</t>
    </rPh>
    <rPh sb="5" eb="7">
      <t>カサン</t>
    </rPh>
    <phoneticPr fontId="1"/>
  </si>
  <si>
    <t>小学校接続加算</t>
    <rPh sb="0" eb="3">
      <t>ショウガッコウ</t>
    </rPh>
    <rPh sb="3" eb="5">
      <t>セツゾク</t>
    </rPh>
    <rPh sb="5" eb="7">
      <t>カサン</t>
    </rPh>
    <phoneticPr fontId="1"/>
  </si>
  <si>
    <t>第三者評価受審加算</t>
    <rPh sb="0" eb="3">
      <t>ダイサンシャ</t>
    </rPh>
    <rPh sb="3" eb="5">
      <t>ヒョウカ</t>
    </rPh>
    <rPh sb="5" eb="7">
      <t>ジュシン</t>
    </rPh>
    <rPh sb="7" eb="9">
      <t>カサン</t>
    </rPh>
    <phoneticPr fontId="1"/>
  </si>
  <si>
    <t>基本加算部分</t>
    <rPh sb="0" eb="2">
      <t>キホン</t>
    </rPh>
    <rPh sb="2" eb="4">
      <t>カサン</t>
    </rPh>
    <rPh sb="4" eb="6">
      <t>ブブン</t>
    </rPh>
    <phoneticPr fontId="1"/>
  </si>
  <si>
    <t>職員数</t>
    <rPh sb="0" eb="2">
      <t>ショクイン</t>
    </rPh>
    <rPh sb="2" eb="3">
      <t>スウ</t>
    </rPh>
    <phoneticPr fontId="1"/>
  </si>
  <si>
    <t>合計時間</t>
    <rPh sb="0" eb="2">
      <t>ゴウケイ</t>
    </rPh>
    <rPh sb="2" eb="4">
      <t>ジカン</t>
    </rPh>
    <phoneticPr fontId="1"/>
  </si>
  <si>
    <t>常勤換算</t>
    <rPh sb="0" eb="2">
      <t>ジョウキン</t>
    </rPh>
    <rPh sb="2" eb="4">
      <t>カンサン</t>
    </rPh>
    <phoneticPr fontId="1"/>
  </si>
  <si>
    <t>常勤職員</t>
    <rPh sb="0" eb="2">
      <t>ジョウキン</t>
    </rPh>
    <rPh sb="2" eb="4">
      <t>ショクイン</t>
    </rPh>
    <phoneticPr fontId="1"/>
  </si>
  <si>
    <t>非常勤職員</t>
    <rPh sb="0" eb="3">
      <t>ヒジョウキン</t>
    </rPh>
    <rPh sb="3" eb="5">
      <t>ショクイン</t>
    </rPh>
    <phoneticPr fontId="1"/>
  </si>
  <si>
    <t>０歳児</t>
    <rPh sb="1" eb="3">
      <t>サイジ</t>
    </rPh>
    <phoneticPr fontId="1"/>
  </si>
  <si>
    <t>３歳児</t>
    <rPh sb="1" eb="3">
      <t>サイジ</t>
    </rPh>
    <phoneticPr fontId="1"/>
  </si>
  <si>
    <t>在籍数</t>
    <rPh sb="0" eb="2">
      <t>ザイセキ</t>
    </rPh>
    <rPh sb="2" eb="3">
      <t>スウ</t>
    </rPh>
    <phoneticPr fontId="1"/>
  </si>
  <si>
    <t>必要職員数</t>
    <rPh sb="0" eb="2">
      <t>ヒツヨウ</t>
    </rPh>
    <rPh sb="2" eb="5">
      <t>ショクインスウ</t>
    </rPh>
    <phoneticPr fontId="1"/>
  </si>
  <si>
    <t>計</t>
    <rPh sb="0" eb="1">
      <t>ケイ</t>
    </rPh>
    <phoneticPr fontId="1"/>
  </si>
  <si>
    <t>1・2歳児</t>
    <rPh sb="3" eb="5">
      <t>サイジ</t>
    </rPh>
    <phoneticPr fontId="1"/>
  </si>
  <si>
    <t>４・5歳児</t>
    <rPh sb="3" eb="5">
      <t>サイジ</t>
    </rPh>
    <phoneticPr fontId="1"/>
  </si>
  <si>
    <t>副食費免除加算</t>
    <rPh sb="0" eb="3">
      <t>フクショクヒ</t>
    </rPh>
    <rPh sb="3" eb="5">
      <t>メンジョ</t>
    </rPh>
    <rPh sb="5" eb="7">
      <t>カサン</t>
    </rPh>
    <phoneticPr fontId="1"/>
  </si>
  <si>
    <t>〇</t>
  </si>
  <si>
    <t>事務職員</t>
    <rPh sb="0" eb="2">
      <t>ジム</t>
    </rPh>
    <rPh sb="2" eb="4">
      <t>ショクイン</t>
    </rPh>
    <phoneticPr fontId="1"/>
  </si>
  <si>
    <t>常勤時間</t>
    <rPh sb="0" eb="2">
      <t>ジョウキン</t>
    </rPh>
    <rPh sb="2" eb="4">
      <t>ジカン</t>
    </rPh>
    <phoneticPr fontId="1"/>
  </si>
  <si>
    <t>管理栄養士</t>
    <rPh sb="0" eb="2">
      <t>カンリ</t>
    </rPh>
    <rPh sb="2" eb="5">
      <t>エイヨウシ</t>
    </rPh>
    <phoneticPr fontId="1"/>
  </si>
  <si>
    <t>調理師</t>
    <rPh sb="0" eb="3">
      <t>チョウリシ</t>
    </rPh>
    <phoneticPr fontId="1"/>
  </si>
  <si>
    <t>用務員</t>
    <rPh sb="0" eb="3">
      <t>ヨウムイン</t>
    </rPh>
    <phoneticPr fontId="1"/>
  </si>
  <si>
    <t>主幹保育教諭（２・３号）</t>
    <rPh sb="0" eb="2">
      <t>シュカン</t>
    </rPh>
    <rPh sb="2" eb="4">
      <t>ホイク</t>
    </rPh>
    <rPh sb="4" eb="6">
      <t>キョウユ</t>
    </rPh>
    <rPh sb="10" eb="11">
      <t>ゴウ</t>
    </rPh>
    <phoneticPr fontId="1"/>
  </si>
  <si>
    <t>主幹保育教諭（１号）</t>
    <rPh sb="0" eb="2">
      <t>シュカン</t>
    </rPh>
    <rPh sb="2" eb="4">
      <t>ホイク</t>
    </rPh>
    <rPh sb="4" eb="6">
      <t>キョウユ</t>
    </rPh>
    <rPh sb="8" eb="9">
      <t>ゴウ</t>
    </rPh>
    <phoneticPr fontId="1"/>
  </si>
  <si>
    <t>幼
免許</t>
    <rPh sb="0" eb="1">
      <t>ヨウ</t>
    </rPh>
    <rPh sb="2" eb="4">
      <t>メンキョ</t>
    </rPh>
    <phoneticPr fontId="1"/>
  </si>
  <si>
    <t>保
資格</t>
    <rPh sb="0" eb="1">
      <t>ホ</t>
    </rPh>
    <rPh sb="2" eb="4">
      <t>シカク</t>
    </rPh>
    <phoneticPr fontId="1"/>
  </si>
  <si>
    <t>加算適用区分</t>
    <rPh sb="0" eb="2">
      <t>カサン</t>
    </rPh>
    <rPh sb="2" eb="4">
      <t>テキヨウ</t>
    </rPh>
    <rPh sb="4" eb="6">
      <t>クブン</t>
    </rPh>
    <phoneticPr fontId="1"/>
  </si>
  <si>
    <t>保育教諭</t>
    <rPh sb="0" eb="2">
      <t>ホイク</t>
    </rPh>
    <rPh sb="2" eb="4">
      <t>キョウユ</t>
    </rPh>
    <phoneticPr fontId="1"/>
  </si>
  <si>
    <t>保育士</t>
    <rPh sb="0" eb="3">
      <t>ホイクシ</t>
    </rPh>
    <phoneticPr fontId="1"/>
  </si>
  <si>
    <t>保育教諭</t>
    <rPh sb="0" eb="2">
      <t>ホイク</t>
    </rPh>
    <rPh sb="2" eb="4">
      <t>キョウユ</t>
    </rPh>
    <phoneticPr fontId="1"/>
  </si>
  <si>
    <t>職種等</t>
    <rPh sb="0" eb="2">
      <t>ショクシュ</t>
    </rPh>
    <rPh sb="2" eb="3">
      <t>ナド</t>
    </rPh>
    <phoneticPr fontId="1"/>
  </si>
  <si>
    <t>職名（処遇Ⅱ）</t>
    <rPh sb="0" eb="2">
      <t>ショクメイ</t>
    </rPh>
    <rPh sb="3" eb="5">
      <t>ショグウ</t>
    </rPh>
    <phoneticPr fontId="1"/>
  </si>
  <si>
    <t>氏　名</t>
    <rPh sb="0" eb="1">
      <t>シ</t>
    </rPh>
    <rPh sb="2" eb="3">
      <t>メイ</t>
    </rPh>
    <phoneticPr fontId="1"/>
  </si>
  <si>
    <t>主幹保育教諭等の専任化により子育て支援の取組みを実施していない場合（１号）</t>
    <rPh sb="0" eb="2">
      <t>シュカン</t>
    </rPh>
    <rPh sb="2" eb="4">
      <t>ホイク</t>
    </rPh>
    <rPh sb="4" eb="6">
      <t>キョウユ</t>
    </rPh>
    <rPh sb="6" eb="7">
      <t>トウ</t>
    </rPh>
    <rPh sb="8" eb="10">
      <t>センニン</t>
    </rPh>
    <rPh sb="10" eb="11">
      <t>カ</t>
    </rPh>
    <rPh sb="14" eb="16">
      <t>コソダ</t>
    </rPh>
    <rPh sb="17" eb="19">
      <t>シエン</t>
    </rPh>
    <rPh sb="20" eb="21">
      <t>ト</t>
    </rPh>
    <rPh sb="21" eb="22">
      <t>ク</t>
    </rPh>
    <rPh sb="24" eb="26">
      <t>ジッシ</t>
    </rPh>
    <rPh sb="31" eb="33">
      <t>バアイ</t>
    </rPh>
    <rPh sb="35" eb="36">
      <t>ゴウ</t>
    </rPh>
    <phoneticPr fontId="1"/>
  </si>
  <si>
    <t>主幹保育教諭等の専任化により子育て支援の取組みを実施していない場合（２・３号）</t>
    <rPh sb="0" eb="2">
      <t>シュカン</t>
    </rPh>
    <rPh sb="2" eb="4">
      <t>ホイク</t>
    </rPh>
    <rPh sb="4" eb="6">
      <t>キョウユ</t>
    </rPh>
    <rPh sb="6" eb="7">
      <t>トウ</t>
    </rPh>
    <rPh sb="8" eb="10">
      <t>センニン</t>
    </rPh>
    <rPh sb="10" eb="11">
      <t>カ</t>
    </rPh>
    <rPh sb="14" eb="16">
      <t>コソダ</t>
    </rPh>
    <rPh sb="17" eb="19">
      <t>シエン</t>
    </rPh>
    <rPh sb="20" eb="21">
      <t>ト</t>
    </rPh>
    <rPh sb="21" eb="22">
      <t>ク</t>
    </rPh>
    <rPh sb="24" eb="26">
      <t>ジッシ</t>
    </rPh>
    <rPh sb="31" eb="33">
      <t>バアイ</t>
    </rPh>
    <rPh sb="37" eb="38">
      <t>ゴウ</t>
    </rPh>
    <phoneticPr fontId="1"/>
  </si>
  <si>
    <t>定員を恒常的に超過する場合（１号）</t>
    <rPh sb="0" eb="2">
      <t>テイイン</t>
    </rPh>
    <rPh sb="3" eb="6">
      <t>コウジョウテキ</t>
    </rPh>
    <rPh sb="7" eb="9">
      <t>チョウカ</t>
    </rPh>
    <rPh sb="11" eb="13">
      <t>バアイ</t>
    </rPh>
    <rPh sb="15" eb="16">
      <t>ゴウ</t>
    </rPh>
    <phoneticPr fontId="1"/>
  </si>
  <si>
    <t>定員を恒常的に超過する場合（２・３号）</t>
    <rPh sb="0" eb="2">
      <t>テイイン</t>
    </rPh>
    <rPh sb="3" eb="6">
      <t>コウジョウテキ</t>
    </rPh>
    <rPh sb="7" eb="9">
      <t>チョウカ</t>
    </rPh>
    <rPh sb="11" eb="13">
      <t>バアイ</t>
    </rPh>
    <rPh sb="17" eb="18">
      <t>ゴウ</t>
    </rPh>
    <phoneticPr fontId="1"/>
  </si>
  <si>
    <t>副園長</t>
    <rPh sb="0" eb="3">
      <t>フクエンチョウ</t>
    </rPh>
    <phoneticPr fontId="1"/>
  </si>
  <si>
    <t>【基本配置】</t>
    <rPh sb="1" eb="3">
      <t>キホン</t>
    </rPh>
    <rPh sb="3" eb="5">
      <t>ハイチ</t>
    </rPh>
    <phoneticPr fontId="1"/>
  </si>
  <si>
    <t>上限</t>
    <rPh sb="0" eb="2">
      <t>ジョウゲン</t>
    </rPh>
    <phoneticPr fontId="1"/>
  </si>
  <si>
    <t>定員</t>
    <rPh sb="0" eb="2">
      <t>テイイン</t>
    </rPh>
    <phoneticPr fontId="1"/>
  </si>
  <si>
    <t>処遇Ⅰ</t>
    <rPh sb="0" eb="2">
      <t>ショグウ</t>
    </rPh>
    <phoneticPr fontId="1"/>
  </si>
  <si>
    <t>学級編成</t>
    <rPh sb="0" eb="2">
      <t>ガッキュウ</t>
    </rPh>
    <rPh sb="2" eb="4">
      <t>ヘンセイ</t>
    </rPh>
    <phoneticPr fontId="1"/>
  </si>
  <si>
    <t>チーム</t>
    <phoneticPr fontId="1"/>
  </si>
  <si>
    <t>給食</t>
    <rPh sb="0" eb="2">
      <t>キュウショク</t>
    </rPh>
    <phoneticPr fontId="1"/>
  </si>
  <si>
    <t>賃借料</t>
    <rPh sb="0" eb="3">
      <t>チンシャクリョウ</t>
    </rPh>
    <phoneticPr fontId="1"/>
  </si>
  <si>
    <t>分園</t>
    <rPh sb="0" eb="2">
      <t>ブンエン</t>
    </rPh>
    <phoneticPr fontId="1"/>
  </si>
  <si>
    <t>主専１無</t>
    <rPh sb="0" eb="1">
      <t>シュ</t>
    </rPh>
    <rPh sb="1" eb="2">
      <t>セン</t>
    </rPh>
    <rPh sb="3" eb="4">
      <t>ム</t>
    </rPh>
    <phoneticPr fontId="1"/>
  </si>
  <si>
    <t>主専２無</t>
    <rPh sb="0" eb="1">
      <t>シュ</t>
    </rPh>
    <rPh sb="1" eb="2">
      <t>セン</t>
    </rPh>
    <rPh sb="3" eb="4">
      <t>ム</t>
    </rPh>
    <phoneticPr fontId="1"/>
  </si>
  <si>
    <t>配基準下</t>
    <rPh sb="0" eb="1">
      <t>クバ</t>
    </rPh>
    <rPh sb="1" eb="3">
      <t>キジュン</t>
    </rPh>
    <rPh sb="3" eb="4">
      <t>シタ</t>
    </rPh>
    <phoneticPr fontId="1"/>
  </si>
  <si>
    <t>資格無</t>
    <rPh sb="0" eb="2">
      <t>シカク</t>
    </rPh>
    <rPh sb="2" eb="3">
      <t>ナシ</t>
    </rPh>
    <phoneticPr fontId="1"/>
  </si>
  <si>
    <t>長措置</t>
    <rPh sb="0" eb="1">
      <t>チョウ</t>
    </rPh>
    <rPh sb="1" eb="3">
      <t>ソチ</t>
    </rPh>
    <phoneticPr fontId="1"/>
  </si>
  <si>
    <t>療育</t>
    <rPh sb="0" eb="2">
      <t>リョウイク</t>
    </rPh>
    <phoneticPr fontId="1"/>
  </si>
  <si>
    <t>処遇Ⅱ</t>
    <rPh sb="0" eb="2">
      <t>ショグウ</t>
    </rPh>
    <phoneticPr fontId="1"/>
  </si>
  <si>
    <t>冷暖房</t>
    <rPh sb="0" eb="3">
      <t>レイダンボウ</t>
    </rPh>
    <phoneticPr fontId="1"/>
  </si>
  <si>
    <t>除雪</t>
    <rPh sb="0" eb="2">
      <t>ジョセツ</t>
    </rPh>
    <phoneticPr fontId="1"/>
  </si>
  <si>
    <t>降灰</t>
    <rPh sb="0" eb="2">
      <t>コウハイ</t>
    </rPh>
    <phoneticPr fontId="1"/>
  </si>
  <si>
    <t>１号</t>
    <rPh sb="1" eb="2">
      <t>ゴウ</t>
    </rPh>
    <phoneticPr fontId="1"/>
  </si>
  <si>
    <t>２・３号</t>
    <rPh sb="3" eb="4">
      <t>ゴウ</t>
    </rPh>
    <phoneticPr fontId="1"/>
  </si>
  <si>
    <t>満３歳</t>
    <rPh sb="0" eb="1">
      <t>マン</t>
    </rPh>
    <rPh sb="2" eb="3">
      <t>サイ</t>
    </rPh>
    <phoneticPr fontId="1"/>
  </si>
  <si>
    <t>一般型預</t>
    <rPh sb="0" eb="1">
      <t>イチ</t>
    </rPh>
    <rPh sb="1" eb="2">
      <t>ハン</t>
    </rPh>
    <rPh sb="2" eb="3">
      <t>カタ</t>
    </rPh>
    <rPh sb="3" eb="4">
      <t>アズ</t>
    </rPh>
    <phoneticPr fontId="1"/>
  </si>
  <si>
    <t>障害児</t>
    <rPh sb="0" eb="2">
      <t>ショウガイ</t>
    </rPh>
    <rPh sb="2" eb="3">
      <t>ジ</t>
    </rPh>
    <phoneticPr fontId="1"/>
  </si>
  <si>
    <t>一般型預</t>
    <rPh sb="0" eb="3">
      <t>イッパンガタ</t>
    </rPh>
    <rPh sb="3" eb="4">
      <t>アズ</t>
    </rPh>
    <phoneticPr fontId="1"/>
  </si>
  <si>
    <t>０歳児</t>
    <rPh sb="1" eb="3">
      <t>サイジ</t>
    </rPh>
    <phoneticPr fontId="1"/>
  </si>
  <si>
    <t>在籍児童数から算出される必要職員数</t>
    <rPh sb="0" eb="2">
      <t>ザイセキ</t>
    </rPh>
    <rPh sb="2" eb="4">
      <t>ジドウ</t>
    </rPh>
    <rPh sb="4" eb="5">
      <t>スウ</t>
    </rPh>
    <rPh sb="7" eb="9">
      <t>サンシュツ</t>
    </rPh>
    <rPh sb="12" eb="14">
      <t>ヒツヨウ</t>
    </rPh>
    <rPh sb="14" eb="16">
      <t>ショクイン</t>
    </rPh>
    <rPh sb="16" eb="17">
      <t>スウ</t>
    </rPh>
    <phoneticPr fontId="1"/>
  </si>
  <si>
    <t>加算内容</t>
    <rPh sb="0" eb="2">
      <t>カサン</t>
    </rPh>
    <rPh sb="2" eb="4">
      <t>ナイヨウ</t>
    </rPh>
    <phoneticPr fontId="1"/>
  </si>
  <si>
    <t>人</t>
    <rPh sb="0" eb="1">
      <t>ニン</t>
    </rPh>
    <phoneticPr fontId="1"/>
  </si>
  <si>
    <t>子育て支援の取組み（主幹専任化要件）</t>
    <rPh sb="0" eb="2">
      <t>コソダ</t>
    </rPh>
    <rPh sb="3" eb="5">
      <t>シエン</t>
    </rPh>
    <rPh sb="6" eb="8">
      <t>トリクミ</t>
    </rPh>
    <rPh sb="10" eb="12">
      <t>シュカン</t>
    </rPh>
    <rPh sb="12" eb="14">
      <t>センニン</t>
    </rPh>
    <rPh sb="14" eb="15">
      <t>カ</t>
    </rPh>
    <rPh sb="15" eb="17">
      <t>ヨウケン</t>
    </rPh>
    <phoneticPr fontId="1"/>
  </si>
  <si>
    <t>取組み数（１号）</t>
    <rPh sb="0" eb="2">
      <t>トリク</t>
    </rPh>
    <rPh sb="3" eb="4">
      <t>スウ</t>
    </rPh>
    <rPh sb="6" eb="7">
      <t>ゴウ</t>
    </rPh>
    <phoneticPr fontId="1"/>
  </si>
  <si>
    <t>取組み数（２・３号）</t>
    <rPh sb="0" eb="2">
      <t>トリク</t>
    </rPh>
    <rPh sb="3" eb="4">
      <t>スウ</t>
    </rPh>
    <rPh sb="4" eb="5">
      <t>ジッスウ</t>
    </rPh>
    <rPh sb="8" eb="9">
      <t>ゴウ</t>
    </rPh>
    <phoneticPr fontId="1"/>
  </si>
  <si>
    <t>子育て支援の取組み</t>
    <rPh sb="0" eb="2">
      <t>コソダ</t>
    </rPh>
    <rPh sb="3" eb="5">
      <t>シエン</t>
    </rPh>
    <rPh sb="6" eb="8">
      <t>トリク</t>
    </rPh>
    <phoneticPr fontId="1"/>
  </si>
  <si>
    <t>定員超１</t>
    <rPh sb="0" eb="1">
      <t>サダム</t>
    </rPh>
    <rPh sb="1" eb="2">
      <t>イン</t>
    </rPh>
    <rPh sb="2" eb="3">
      <t>チョウ</t>
    </rPh>
    <phoneticPr fontId="1"/>
  </si>
  <si>
    <t>定員超２</t>
    <rPh sb="0" eb="1">
      <t>サダム</t>
    </rPh>
    <rPh sb="1" eb="2">
      <t>イン</t>
    </rPh>
    <rPh sb="2" eb="3">
      <t>チョウ</t>
    </rPh>
    <phoneticPr fontId="1"/>
  </si>
  <si>
    <t>年</t>
    <rPh sb="0" eb="1">
      <t>ネン</t>
    </rPh>
    <phoneticPr fontId="1"/>
  </si>
  <si>
    <t>月</t>
    <rPh sb="0" eb="1">
      <t>ツキ</t>
    </rPh>
    <phoneticPr fontId="1"/>
  </si>
  <si>
    <t>看護師等</t>
    <rPh sb="0" eb="3">
      <t>カンゴシ</t>
    </rPh>
    <rPh sb="3" eb="4">
      <t>トウ</t>
    </rPh>
    <phoneticPr fontId="1"/>
  </si>
  <si>
    <t>休職中等職員</t>
    <rPh sb="0" eb="2">
      <t>キュウショク</t>
    </rPh>
    <rPh sb="2" eb="3">
      <t>チュウ</t>
    </rPh>
    <rPh sb="3" eb="4">
      <t>ナド</t>
    </rPh>
    <rPh sb="4" eb="6">
      <t>ショクイン</t>
    </rPh>
    <phoneticPr fontId="1"/>
  </si>
  <si>
    <t>看護師等</t>
    <rPh sb="0" eb="3">
      <t>カンゴシ</t>
    </rPh>
    <rPh sb="3" eb="4">
      <t>ナド</t>
    </rPh>
    <phoneticPr fontId="1"/>
  </si>
  <si>
    <t>＝</t>
    <phoneticPr fontId="1"/>
  </si>
  <si>
    <t>高齢活躍</t>
    <rPh sb="0" eb="2">
      <t>コウレイ</t>
    </rPh>
    <rPh sb="2" eb="4">
      <t>カツヤク</t>
    </rPh>
    <phoneticPr fontId="1"/>
  </si>
  <si>
    <t>栄養管理</t>
    <rPh sb="0" eb="2">
      <t>エイヨウ</t>
    </rPh>
    <rPh sb="2" eb="4">
      <t>カンリ</t>
    </rPh>
    <phoneticPr fontId="1"/>
  </si>
  <si>
    <t>第三評価</t>
    <rPh sb="0" eb="1">
      <t>ダイ</t>
    </rPh>
    <rPh sb="1" eb="2">
      <t>サン</t>
    </rPh>
    <rPh sb="2" eb="4">
      <t>ヒョウカ</t>
    </rPh>
    <phoneticPr fontId="1"/>
  </si>
  <si>
    <t>関係評価</t>
    <rPh sb="0" eb="2">
      <t>カンケイ</t>
    </rPh>
    <rPh sb="2" eb="4">
      <t>ヒョウカ</t>
    </rPh>
    <phoneticPr fontId="1"/>
  </si>
  <si>
    <t>事務配置</t>
    <rPh sb="0" eb="2">
      <t>ジム</t>
    </rPh>
    <rPh sb="2" eb="4">
      <t>ハイチ</t>
    </rPh>
    <phoneticPr fontId="1"/>
  </si>
  <si>
    <t>指導充実</t>
    <rPh sb="0" eb="2">
      <t>シドウ</t>
    </rPh>
    <rPh sb="2" eb="4">
      <t>ジュウジツ</t>
    </rPh>
    <phoneticPr fontId="1"/>
  </si>
  <si>
    <t>事務対加</t>
    <rPh sb="0" eb="2">
      <t>ジム</t>
    </rPh>
    <rPh sb="2" eb="3">
      <t>タイ</t>
    </rPh>
    <rPh sb="3" eb="4">
      <t>カ</t>
    </rPh>
    <phoneticPr fontId="1"/>
  </si>
  <si>
    <t>機能強化</t>
    <rPh sb="0" eb="2">
      <t>キノウ</t>
    </rPh>
    <rPh sb="2" eb="4">
      <t>キョウカ</t>
    </rPh>
    <phoneticPr fontId="1"/>
  </si>
  <si>
    <t>小学接続</t>
    <rPh sb="0" eb="1">
      <t>ショウ</t>
    </rPh>
    <rPh sb="1" eb="2">
      <t>ガク</t>
    </rPh>
    <rPh sb="2" eb="4">
      <t>セツゾク</t>
    </rPh>
    <phoneticPr fontId="1"/>
  </si>
  <si>
    <t>１号定無</t>
    <rPh sb="1" eb="2">
      <t>ゴウ</t>
    </rPh>
    <rPh sb="2" eb="3">
      <t>ジョウ</t>
    </rPh>
    <rPh sb="3" eb="4">
      <t>ム</t>
    </rPh>
    <phoneticPr fontId="1"/>
  </si>
  <si>
    <t>土曜閉園</t>
    <rPh sb="0" eb="2">
      <t>ドヨウ</t>
    </rPh>
    <rPh sb="2" eb="3">
      <t>シ</t>
    </rPh>
    <rPh sb="3" eb="4">
      <t>エン</t>
    </rPh>
    <phoneticPr fontId="1"/>
  </si>
  <si>
    <t>３歳配置</t>
    <rPh sb="1" eb="2">
      <t>サイ</t>
    </rPh>
    <rPh sb="2" eb="4">
      <t>ハイチ</t>
    </rPh>
    <phoneticPr fontId="1"/>
  </si>
  <si>
    <t>満３歳対</t>
    <rPh sb="0" eb="1">
      <t>マン</t>
    </rPh>
    <rPh sb="2" eb="3">
      <t>サイ</t>
    </rPh>
    <rPh sb="3" eb="4">
      <t>タイ</t>
    </rPh>
    <phoneticPr fontId="1"/>
  </si>
  <si>
    <t>講師配置</t>
    <rPh sb="0" eb="2">
      <t>コウシ</t>
    </rPh>
    <rPh sb="2" eb="4">
      <t>ハイチ</t>
    </rPh>
    <phoneticPr fontId="1"/>
  </si>
  <si>
    <t>通園送迎</t>
    <rPh sb="0" eb="2">
      <t>ツウエン</t>
    </rPh>
    <rPh sb="2" eb="4">
      <t>ソウゲイ</t>
    </rPh>
    <phoneticPr fontId="1"/>
  </si>
  <si>
    <t>外部監査</t>
    <rPh sb="0" eb="2">
      <t>ガイブ</t>
    </rPh>
    <rPh sb="2" eb="4">
      <t>カンサ</t>
    </rPh>
    <phoneticPr fontId="1"/>
  </si>
  <si>
    <t>休日保育</t>
    <rPh sb="0" eb="2">
      <t>キュウジツ</t>
    </rPh>
    <rPh sb="2" eb="4">
      <t>ホイク</t>
    </rPh>
    <phoneticPr fontId="1"/>
  </si>
  <si>
    <t>夜間保育</t>
    <rPh sb="0" eb="2">
      <t>ヤカン</t>
    </rPh>
    <rPh sb="2" eb="4">
      <t>ホイク</t>
    </rPh>
    <phoneticPr fontId="1"/>
  </si>
  <si>
    <t>減価償費</t>
    <rPh sb="0" eb="2">
      <t>ゲンカ</t>
    </rPh>
    <rPh sb="2" eb="3">
      <t>ショウ</t>
    </rPh>
    <rPh sb="3" eb="4">
      <t>ヒ</t>
    </rPh>
    <phoneticPr fontId="1"/>
  </si>
  <si>
    <t>副食免除</t>
    <rPh sb="0" eb="2">
      <t>フクショク</t>
    </rPh>
    <rPh sb="2" eb="4">
      <t>メンジョ</t>
    </rPh>
    <phoneticPr fontId="1"/>
  </si>
  <si>
    <t>幼稚型預</t>
    <rPh sb="0" eb="2">
      <t>ヨウチ</t>
    </rPh>
    <rPh sb="2" eb="3">
      <t>カタ</t>
    </rPh>
    <rPh sb="3" eb="4">
      <t>アズ</t>
    </rPh>
    <phoneticPr fontId="1"/>
  </si>
  <si>
    <t>病児保育</t>
    <rPh sb="0" eb="2">
      <t>ビョウジ</t>
    </rPh>
    <rPh sb="2" eb="4">
      <t>ホイク</t>
    </rPh>
    <phoneticPr fontId="1"/>
  </si>
  <si>
    <t>延長保育</t>
    <rPh sb="0" eb="2">
      <t>エンチョウ</t>
    </rPh>
    <rPh sb="2" eb="4">
      <t>ホイク</t>
    </rPh>
    <phoneticPr fontId="1"/>
  </si>
  <si>
    <t>栄養管理加算</t>
    <phoneticPr fontId="1"/>
  </si>
  <si>
    <t>教育・保育給付に係る加算等確認表（認定こども園）</t>
    <rPh sb="0" eb="2">
      <t>キョウイク</t>
    </rPh>
    <rPh sb="3" eb="5">
      <t>ホイク</t>
    </rPh>
    <rPh sb="5" eb="7">
      <t>キュウフ</t>
    </rPh>
    <rPh sb="8" eb="9">
      <t>カカ</t>
    </rPh>
    <rPh sb="10" eb="12">
      <t>カサン</t>
    </rPh>
    <rPh sb="12" eb="13">
      <t>トウ</t>
    </rPh>
    <rPh sb="13" eb="15">
      <t>カクニン</t>
    </rPh>
    <rPh sb="15" eb="16">
      <t>ヒョウ</t>
    </rPh>
    <rPh sb="17" eb="23">
      <t>ニン</t>
    </rPh>
    <phoneticPr fontId="1"/>
  </si>
  <si>
    <t>教育・保育給付に係る加算等確認表（認定こども園）</t>
    <rPh sb="0" eb="2">
      <t>キョウイク</t>
    </rPh>
    <rPh sb="3" eb="5">
      <t>ホイク</t>
    </rPh>
    <rPh sb="5" eb="7">
      <t>キュウフ</t>
    </rPh>
    <rPh sb="8" eb="9">
      <t>カカ</t>
    </rPh>
    <rPh sb="10" eb="12">
      <t>カサン</t>
    </rPh>
    <rPh sb="12" eb="13">
      <t>トウ</t>
    </rPh>
    <rPh sb="13" eb="15">
      <t>カクニン</t>
    </rPh>
    <rPh sb="15" eb="16">
      <t>ヒョウ</t>
    </rPh>
    <rPh sb="17" eb="19">
      <t>ニンテイ</t>
    </rPh>
    <rPh sb="22" eb="23">
      <t>エン</t>
    </rPh>
    <phoneticPr fontId="1"/>
  </si>
  <si>
    <t>必要休憩保育教諭数</t>
    <rPh sb="0" eb="2">
      <t>ヒツヨウ</t>
    </rPh>
    <rPh sb="2" eb="4">
      <t>キュウケイ</t>
    </rPh>
    <rPh sb="4" eb="6">
      <t>ホイク</t>
    </rPh>
    <rPh sb="6" eb="8">
      <t>キョウユ</t>
    </rPh>
    <rPh sb="8" eb="9">
      <t>スウ</t>
    </rPh>
    <phoneticPr fontId="1"/>
  </si>
  <si>
    <t>保育標準時間対応職員数</t>
    <rPh sb="0" eb="2">
      <t>ホイク</t>
    </rPh>
    <rPh sb="2" eb="4">
      <t>ヒョウジュン</t>
    </rPh>
    <rPh sb="4" eb="6">
      <t>ジカン</t>
    </rPh>
    <rPh sb="6" eb="8">
      <t>タイオウ</t>
    </rPh>
    <rPh sb="8" eb="10">
      <t>ショクイン</t>
    </rPh>
    <rPh sb="10" eb="11">
      <t>スウ</t>
    </rPh>
    <phoneticPr fontId="1"/>
  </si>
  <si>
    <t>チーム保育加配加算</t>
    <rPh sb="3" eb="5">
      <t>ホイク</t>
    </rPh>
    <rPh sb="5" eb="7">
      <t>カハイ</t>
    </rPh>
    <rPh sb="7" eb="9">
      <t>カサン</t>
    </rPh>
    <phoneticPr fontId="1"/>
  </si>
  <si>
    <t>チーム保育加算可能数</t>
    <rPh sb="3" eb="5">
      <t>ホイク</t>
    </rPh>
    <rPh sb="5" eb="7">
      <t>カサン</t>
    </rPh>
    <rPh sb="7" eb="9">
      <t>カノウ</t>
    </rPh>
    <rPh sb="9" eb="10">
      <t>スウ</t>
    </rPh>
    <phoneticPr fontId="1"/>
  </si>
  <si>
    <t>１・２号利用定員
（３歳児以上）</t>
    <rPh sb="3" eb="4">
      <t>ゴウ</t>
    </rPh>
    <rPh sb="4" eb="6">
      <t>リヨウ</t>
    </rPh>
    <rPh sb="6" eb="8">
      <t>テイイン</t>
    </rPh>
    <rPh sb="11" eb="15">
      <t>サイジイジョウ</t>
    </rPh>
    <phoneticPr fontId="1"/>
  </si>
  <si>
    <t>小学校との連携・接続の取組みをしている</t>
    <rPh sb="0" eb="3">
      <t>ショウガッコウ</t>
    </rPh>
    <rPh sb="5" eb="7">
      <t>レンケイ</t>
    </rPh>
    <rPh sb="8" eb="10">
      <t>セツゾク</t>
    </rPh>
    <rPh sb="11" eb="13">
      <t>トリク</t>
    </rPh>
    <phoneticPr fontId="1"/>
  </si>
  <si>
    <t>小学校連携</t>
    <rPh sb="0" eb="3">
      <t>ショウガッコウ</t>
    </rPh>
    <rPh sb="3" eb="5">
      <t>レンケイ</t>
    </rPh>
    <phoneticPr fontId="1"/>
  </si>
  <si>
    <t>幼稚園型一時預かり事業</t>
    <rPh sb="0" eb="3">
      <t>ヨウチエン</t>
    </rPh>
    <rPh sb="3" eb="4">
      <t>ガタ</t>
    </rPh>
    <rPh sb="4" eb="6">
      <t>イチジ</t>
    </rPh>
    <rPh sb="6" eb="7">
      <t>アズ</t>
    </rPh>
    <rPh sb="9" eb="11">
      <t>ジギョウ</t>
    </rPh>
    <phoneticPr fontId="1"/>
  </si>
  <si>
    <t>一般型一時預かり事業</t>
    <rPh sb="0" eb="2">
      <t>イッパン</t>
    </rPh>
    <rPh sb="2" eb="3">
      <t>ガタ</t>
    </rPh>
    <rPh sb="3" eb="5">
      <t>イチジ</t>
    </rPh>
    <rPh sb="5" eb="6">
      <t>アズ</t>
    </rPh>
    <rPh sb="8" eb="10">
      <t>ジギョウ</t>
    </rPh>
    <phoneticPr fontId="1"/>
  </si>
  <si>
    <t>学級編成調整加配加算</t>
    <rPh sb="0" eb="2">
      <t>ガッキュウ</t>
    </rPh>
    <rPh sb="2" eb="4">
      <t>ヘンセイ</t>
    </rPh>
    <rPh sb="4" eb="6">
      <t>チョウセイ</t>
    </rPh>
    <rPh sb="6" eb="8">
      <t>カハイ</t>
    </rPh>
    <rPh sb="8" eb="10">
      <t>カサン</t>
    </rPh>
    <phoneticPr fontId="1"/>
  </si>
  <si>
    <t>施設機能強化加算判定用</t>
    <rPh sb="0" eb="2">
      <t>シセツ</t>
    </rPh>
    <rPh sb="2" eb="4">
      <t>キノウ</t>
    </rPh>
    <rPh sb="4" eb="6">
      <t>キョウカ</t>
    </rPh>
    <rPh sb="6" eb="8">
      <t>カサン</t>
    </rPh>
    <rPh sb="8" eb="11">
      <t>ハンテイヨウ</t>
    </rPh>
    <phoneticPr fontId="1"/>
  </si>
  <si>
    <t>事務職員配置加算</t>
    <rPh sb="0" eb="2">
      <t>ジム</t>
    </rPh>
    <rPh sb="2" eb="4">
      <t>ショクイン</t>
    </rPh>
    <rPh sb="4" eb="6">
      <t>ハイチ</t>
    </rPh>
    <rPh sb="6" eb="8">
      <t>カサン</t>
    </rPh>
    <phoneticPr fontId="1"/>
  </si>
  <si>
    <t>保育教諭（職員数換算対象）</t>
    <rPh sb="0" eb="2">
      <t>ホイク</t>
    </rPh>
    <rPh sb="2" eb="4">
      <t>キョウユ</t>
    </rPh>
    <rPh sb="5" eb="8">
      <t>ショクインスウ</t>
    </rPh>
    <rPh sb="8" eb="10">
      <t>カンサン</t>
    </rPh>
    <rPh sb="10" eb="12">
      <t>タイショウ</t>
    </rPh>
    <phoneticPr fontId="1"/>
  </si>
  <si>
    <t>※1</t>
    <phoneticPr fontId="1"/>
  </si>
  <si>
    <t>※2</t>
    <phoneticPr fontId="1"/>
  </si>
  <si>
    <t>休けい保育教諭は、２・３号利用定員が９０人以下の施設に１人分適用される。</t>
    <rPh sb="0" eb="1">
      <t>ヤス</t>
    </rPh>
    <rPh sb="3" eb="5">
      <t>ホイク</t>
    </rPh>
    <rPh sb="5" eb="7">
      <t>キョウユ</t>
    </rPh>
    <rPh sb="12" eb="13">
      <t>ゴウ</t>
    </rPh>
    <rPh sb="13" eb="15">
      <t>リヨウ</t>
    </rPh>
    <rPh sb="15" eb="17">
      <t>テイイン</t>
    </rPh>
    <rPh sb="20" eb="23">
      <t>ニンイカ</t>
    </rPh>
    <rPh sb="24" eb="26">
      <t>シセツ</t>
    </rPh>
    <rPh sb="28" eb="29">
      <t>ニン</t>
    </rPh>
    <rPh sb="29" eb="30">
      <t>ブン</t>
    </rPh>
    <rPh sb="30" eb="32">
      <t>テキヨウ</t>
    </rPh>
    <phoneticPr fontId="1"/>
  </si>
  <si>
    <t>※3</t>
    <phoneticPr fontId="1"/>
  </si>
  <si>
    <t>非常勤事務職員は、週２日勤務分（１号利用定員が９１人以上はプラス１人分）となる。ただし、施設長等が兼務する場合や業務委託する場合は配置は不要。</t>
    <rPh sb="0" eb="3">
      <t>ヒジョウキン</t>
    </rPh>
    <rPh sb="3" eb="5">
      <t>ジム</t>
    </rPh>
    <rPh sb="5" eb="7">
      <t>ショクイン</t>
    </rPh>
    <rPh sb="9" eb="10">
      <t>シュウ</t>
    </rPh>
    <rPh sb="11" eb="12">
      <t>ニチ</t>
    </rPh>
    <rPh sb="12" eb="14">
      <t>キンム</t>
    </rPh>
    <rPh sb="14" eb="15">
      <t>ブン</t>
    </rPh>
    <rPh sb="17" eb="18">
      <t>ゴウ</t>
    </rPh>
    <rPh sb="18" eb="20">
      <t>リヨウ</t>
    </rPh>
    <rPh sb="20" eb="22">
      <t>テイイン</t>
    </rPh>
    <rPh sb="25" eb="28">
      <t>ニンイジョウ</t>
    </rPh>
    <rPh sb="33" eb="35">
      <t>ニンブン</t>
    </rPh>
    <rPh sb="44" eb="46">
      <t>シセツ</t>
    </rPh>
    <rPh sb="46" eb="47">
      <t>チョウ</t>
    </rPh>
    <rPh sb="47" eb="48">
      <t>トウ</t>
    </rPh>
    <rPh sb="49" eb="51">
      <t>ケンム</t>
    </rPh>
    <rPh sb="53" eb="55">
      <t>バアイ</t>
    </rPh>
    <rPh sb="56" eb="58">
      <t>ギョウム</t>
    </rPh>
    <rPh sb="58" eb="60">
      <t>イタク</t>
    </rPh>
    <rPh sb="62" eb="64">
      <t>バアイ</t>
    </rPh>
    <rPh sb="65" eb="67">
      <t>ハイチ</t>
    </rPh>
    <rPh sb="68" eb="70">
      <t>フヨウ</t>
    </rPh>
    <phoneticPr fontId="1"/>
  </si>
  <si>
    <t>調理員等の人数は、２・３号利用定員が４０人以下は１人、４１～１５０人は２人、１５１人以上は３人（うち１人は非常勤）となる。ただし、外部搬入又は委託の場合は配置は不要。</t>
    <rPh sb="0" eb="3">
      <t>チョウリイン</t>
    </rPh>
    <rPh sb="3" eb="4">
      <t>トウ</t>
    </rPh>
    <rPh sb="5" eb="7">
      <t>ニンズウ</t>
    </rPh>
    <rPh sb="12" eb="13">
      <t>ゴウ</t>
    </rPh>
    <rPh sb="13" eb="15">
      <t>リヨウ</t>
    </rPh>
    <rPh sb="15" eb="17">
      <t>テイイン</t>
    </rPh>
    <rPh sb="20" eb="21">
      <t>ニン</t>
    </rPh>
    <rPh sb="21" eb="23">
      <t>イカ</t>
    </rPh>
    <rPh sb="25" eb="26">
      <t>ニン</t>
    </rPh>
    <rPh sb="33" eb="34">
      <t>ニン</t>
    </rPh>
    <rPh sb="36" eb="37">
      <t>ニン</t>
    </rPh>
    <rPh sb="41" eb="42">
      <t>ニン</t>
    </rPh>
    <rPh sb="42" eb="44">
      <t>イジョウ</t>
    </rPh>
    <rPh sb="46" eb="47">
      <t>ニン</t>
    </rPh>
    <rPh sb="51" eb="52">
      <t>ニン</t>
    </rPh>
    <rPh sb="53" eb="56">
      <t>ヒジョウキン</t>
    </rPh>
    <rPh sb="77" eb="79">
      <t>ハイチ</t>
    </rPh>
    <phoneticPr fontId="1"/>
  </si>
  <si>
    <t>三木市教育・保育課</t>
    <rPh sb="0" eb="3">
      <t>ミキシ</t>
    </rPh>
    <rPh sb="3" eb="5">
      <t>キョウイク</t>
    </rPh>
    <rPh sb="6" eb="8">
      <t>ホイク</t>
    </rPh>
    <rPh sb="8" eb="9">
      <t>カ</t>
    </rPh>
    <phoneticPr fontId="1"/>
  </si>
  <si>
    <t>三木市教育・保育課</t>
    <rPh sb="0" eb="3">
      <t>ミキシ</t>
    </rPh>
    <rPh sb="3" eb="9">
      <t>キョ</t>
    </rPh>
    <phoneticPr fontId="1"/>
  </si>
  <si>
    <t>療育支援加算</t>
    <rPh sb="0" eb="2">
      <t>リョウイク</t>
    </rPh>
    <rPh sb="2" eb="4">
      <t>シエン</t>
    </rPh>
    <rPh sb="4" eb="6">
      <t>カサン</t>
    </rPh>
    <phoneticPr fontId="1"/>
  </si>
  <si>
    <t>副園長・教頭配置加算</t>
    <rPh sb="0" eb="3">
      <t>フクエンチョウ</t>
    </rPh>
    <rPh sb="4" eb="6">
      <t>キョウトウ</t>
    </rPh>
    <rPh sb="6" eb="8">
      <t>ハイチ</t>
    </rPh>
    <rPh sb="8" eb="10">
      <t>カサン</t>
    </rPh>
    <phoneticPr fontId="1"/>
  </si>
  <si>
    <t>学級編成調整加配加算</t>
    <rPh sb="0" eb="10">
      <t>ガッキュウヘンセイチョウセイカハイカサン</t>
    </rPh>
    <phoneticPr fontId="1"/>
  </si>
  <si>
    <t>３歳児配置改善加算</t>
    <rPh sb="1" eb="3">
      <t>サイジ</t>
    </rPh>
    <rPh sb="3" eb="5">
      <t>ハイチ</t>
    </rPh>
    <rPh sb="5" eb="7">
      <t>カイゼン</t>
    </rPh>
    <rPh sb="7" eb="9">
      <t>カサン</t>
    </rPh>
    <phoneticPr fontId="1"/>
  </si>
  <si>
    <t>満3歳児対応加配加算</t>
    <rPh sb="0" eb="1">
      <t>マン</t>
    </rPh>
    <rPh sb="2" eb="4">
      <t>サイジ</t>
    </rPh>
    <rPh sb="4" eb="6">
      <t>タイオウ</t>
    </rPh>
    <rPh sb="6" eb="8">
      <t>カハイ</t>
    </rPh>
    <rPh sb="8" eb="10">
      <t>カサン</t>
    </rPh>
    <phoneticPr fontId="1"/>
  </si>
  <si>
    <t>講師配置加算</t>
    <rPh sb="0" eb="2">
      <t>コウシ</t>
    </rPh>
    <rPh sb="2" eb="4">
      <t>ハイチ</t>
    </rPh>
    <rPh sb="4" eb="6">
      <t>カサン</t>
    </rPh>
    <phoneticPr fontId="1"/>
  </si>
  <si>
    <t>チーム保育加配加算</t>
    <rPh sb="3" eb="5">
      <t>ホイク</t>
    </rPh>
    <rPh sb="5" eb="7">
      <t>カハイ</t>
    </rPh>
    <rPh sb="7" eb="9">
      <t>カサン</t>
    </rPh>
    <phoneticPr fontId="1"/>
  </si>
  <si>
    <t>事務職員配置加算</t>
    <rPh sb="0" eb="2">
      <t>ジム</t>
    </rPh>
    <rPh sb="2" eb="4">
      <t>ショクイン</t>
    </rPh>
    <rPh sb="4" eb="6">
      <t>ハイチ</t>
    </rPh>
    <rPh sb="6" eb="8">
      <t>カサン</t>
    </rPh>
    <phoneticPr fontId="1"/>
  </si>
  <si>
    <t>施設機能強化推進費加算</t>
    <rPh sb="0" eb="2">
      <t>シセツ</t>
    </rPh>
    <rPh sb="2" eb="4">
      <t>キノウ</t>
    </rPh>
    <rPh sb="4" eb="6">
      <t>キョウカ</t>
    </rPh>
    <rPh sb="6" eb="8">
      <t>スイシン</t>
    </rPh>
    <rPh sb="8" eb="9">
      <t>ヒ</t>
    </rPh>
    <rPh sb="9" eb="11">
      <t>カサン</t>
    </rPh>
    <phoneticPr fontId="1"/>
  </si>
  <si>
    <t>高齢者等活躍促進加算</t>
    <rPh sb="0" eb="3">
      <t>コウレイシャ</t>
    </rPh>
    <rPh sb="3" eb="4">
      <t>トウ</t>
    </rPh>
    <rPh sb="4" eb="6">
      <t>カツヤク</t>
    </rPh>
    <rPh sb="6" eb="8">
      <t>ソクシン</t>
    </rPh>
    <rPh sb="8" eb="10">
      <t>カサン</t>
    </rPh>
    <phoneticPr fontId="1"/>
  </si>
  <si>
    <t>判定</t>
    <rPh sb="0" eb="2">
      <t>ハンテイ</t>
    </rPh>
    <phoneticPr fontId="1"/>
  </si>
  <si>
    <t>職員名簿から算出される常勤換算された有効職員数（主幹含む）</t>
    <rPh sb="0" eb="2">
      <t>ショクイン</t>
    </rPh>
    <rPh sb="2" eb="4">
      <t>メイボ</t>
    </rPh>
    <rPh sb="6" eb="8">
      <t>サンシュツ</t>
    </rPh>
    <rPh sb="11" eb="13">
      <t>ジョウキン</t>
    </rPh>
    <rPh sb="13" eb="15">
      <t>カンサン</t>
    </rPh>
    <rPh sb="18" eb="20">
      <t>ユウコウ</t>
    </rPh>
    <rPh sb="20" eb="23">
      <t>ショクインスウ</t>
    </rPh>
    <rPh sb="24" eb="26">
      <t>シュカン</t>
    </rPh>
    <rPh sb="26" eb="27">
      <t>フク</t>
    </rPh>
    <phoneticPr fontId="1"/>
  </si>
  <si>
    <t>各事業実施にそれぞれ最低１名専任が必要</t>
    <rPh sb="0" eb="1">
      <t>カク</t>
    </rPh>
    <rPh sb="1" eb="3">
      <t>ジギョウ</t>
    </rPh>
    <rPh sb="3" eb="5">
      <t>ジッシ</t>
    </rPh>
    <rPh sb="10" eb="12">
      <t>サイテイ</t>
    </rPh>
    <rPh sb="13" eb="14">
      <t>メイ</t>
    </rPh>
    <rPh sb="14" eb="16">
      <t>センニン</t>
    </rPh>
    <rPh sb="17" eb="19">
      <t>ヒツヨウ</t>
    </rPh>
    <phoneticPr fontId="1"/>
  </si>
  <si>
    <t>チーム保育加算人数判定</t>
    <rPh sb="3" eb="5">
      <t>ホイク</t>
    </rPh>
    <rPh sb="5" eb="7">
      <t>カサン</t>
    </rPh>
    <rPh sb="7" eb="9">
      <t>ニンズウ</t>
    </rPh>
    <rPh sb="9" eb="11">
      <t>ハンテイ</t>
    </rPh>
    <phoneticPr fontId="1"/>
  </si>
  <si>
    <t>年齢別配置基準を</t>
    <rPh sb="0" eb="2">
      <t>ネンレイ</t>
    </rPh>
    <rPh sb="2" eb="3">
      <t>ベツ</t>
    </rPh>
    <rPh sb="3" eb="5">
      <t>ハイチ</t>
    </rPh>
    <rPh sb="5" eb="7">
      <t>キジュン</t>
    </rPh>
    <phoneticPr fontId="1"/>
  </si>
  <si>
    <t>１号認定</t>
    <rPh sb="1" eb="2">
      <t>ゴウ</t>
    </rPh>
    <rPh sb="2" eb="4">
      <t>ニンテイ</t>
    </rPh>
    <phoneticPr fontId="1"/>
  </si>
  <si>
    <t>２号認定</t>
    <rPh sb="1" eb="2">
      <t>ゴウ</t>
    </rPh>
    <rPh sb="2" eb="4">
      <t>ニンテイ</t>
    </rPh>
    <phoneticPr fontId="1"/>
  </si>
  <si>
    <t>３号認定</t>
    <rPh sb="1" eb="2">
      <t>ゴウ</t>
    </rPh>
    <rPh sb="2" eb="4">
      <t>ニンテイ</t>
    </rPh>
    <phoneticPr fontId="1"/>
  </si>
  <si>
    <t>Ver.</t>
    <phoneticPr fontId="1"/>
  </si>
  <si>
    <t>Release</t>
    <phoneticPr fontId="1"/>
  </si>
  <si>
    <t>児童名簿：2歳児2号のカウント追加</t>
    <rPh sb="0" eb="2">
      <t>ジドウ</t>
    </rPh>
    <rPh sb="2" eb="4">
      <t>メイボ</t>
    </rPh>
    <rPh sb="6" eb="8">
      <t>サイジ</t>
    </rPh>
    <rPh sb="9" eb="10">
      <t>ゴウ</t>
    </rPh>
    <rPh sb="15" eb="17">
      <t>ツイカ</t>
    </rPh>
    <phoneticPr fontId="1"/>
  </si>
  <si>
    <t>集計表：基本分単価における必要保育教諭等の数を満たしているかどうかの欄追加</t>
    <rPh sb="0" eb="3">
      <t>シュウケイヒョウ</t>
    </rPh>
    <rPh sb="4" eb="9">
      <t>キホンブンタンカ</t>
    </rPh>
    <rPh sb="13" eb="15">
      <t>ヒツヨウ</t>
    </rPh>
    <rPh sb="15" eb="17">
      <t>ホイク</t>
    </rPh>
    <rPh sb="17" eb="19">
      <t>キョウユ</t>
    </rPh>
    <rPh sb="19" eb="20">
      <t>トウ</t>
    </rPh>
    <rPh sb="21" eb="22">
      <t>カズ</t>
    </rPh>
    <rPh sb="23" eb="24">
      <t>ミ</t>
    </rPh>
    <rPh sb="34" eb="35">
      <t>ラン</t>
    </rPh>
    <rPh sb="35" eb="37">
      <t>ツイカ</t>
    </rPh>
    <phoneticPr fontId="1"/>
  </si>
  <si>
    <t>Detail</t>
    <phoneticPr fontId="1"/>
  </si>
  <si>
    <t>①基本情報シートL2_子育て支援の取組み1号「小学校との連携・接続の取組みをしている」をカウントしていなかったので、カウントに入れる</t>
    <rPh sb="1" eb="3">
      <t>キホン</t>
    </rPh>
    <rPh sb="3" eb="5">
      <t>ジョウホウ</t>
    </rPh>
    <rPh sb="11" eb="13">
      <t>コソダ</t>
    </rPh>
    <rPh sb="14" eb="16">
      <t>シエン</t>
    </rPh>
    <rPh sb="17" eb="19">
      <t>トリク</t>
    </rPh>
    <rPh sb="21" eb="22">
      <t>ゴウ</t>
    </rPh>
    <rPh sb="23" eb="26">
      <t>ショウガッコウ</t>
    </rPh>
    <rPh sb="28" eb="30">
      <t>レンケイ</t>
    </rPh>
    <rPh sb="31" eb="33">
      <t>セツゾク</t>
    </rPh>
    <rPh sb="34" eb="36">
      <t>トリク</t>
    </rPh>
    <rPh sb="63" eb="64">
      <t>イ</t>
    </rPh>
    <phoneticPr fontId="1"/>
  </si>
  <si>
    <t>④加算シートP8_療育支援加算の適用不可条件判定で、③職員名簿での「職名（処遇Ⅱ）の入力」を条件から外す（名前入力だけでOK判定）</t>
    <rPh sb="1" eb="3">
      <t>カサン</t>
    </rPh>
    <rPh sb="9" eb="11">
      <t>リョウイク</t>
    </rPh>
    <rPh sb="11" eb="13">
      <t>シエン</t>
    </rPh>
    <rPh sb="13" eb="15">
      <t>カサン</t>
    </rPh>
    <rPh sb="16" eb="18">
      <t>テキヨウ</t>
    </rPh>
    <rPh sb="18" eb="20">
      <t>フカ</t>
    </rPh>
    <rPh sb="20" eb="22">
      <t>ジョウケン</t>
    </rPh>
    <rPh sb="22" eb="24">
      <t>ハンテイ</t>
    </rPh>
    <rPh sb="27" eb="29">
      <t>ショクイン</t>
    </rPh>
    <rPh sb="29" eb="31">
      <t>メイボ</t>
    </rPh>
    <rPh sb="34" eb="36">
      <t>ショクメイ</t>
    </rPh>
    <rPh sb="37" eb="39">
      <t>ショグウ</t>
    </rPh>
    <rPh sb="42" eb="44">
      <t>ニュウリョク</t>
    </rPh>
    <rPh sb="46" eb="48">
      <t>ジョウケン</t>
    </rPh>
    <rPh sb="50" eb="51">
      <t>ハズ</t>
    </rPh>
    <rPh sb="53" eb="55">
      <t>ナマエ</t>
    </rPh>
    <rPh sb="55" eb="57">
      <t>ニュウリョク</t>
    </rPh>
    <rPh sb="62" eb="64">
      <t>ハンテイ</t>
    </rPh>
    <phoneticPr fontId="1"/>
  </si>
  <si>
    <t>~210</t>
    <phoneticPr fontId="1"/>
  </si>
  <si>
    <t>~279</t>
    <phoneticPr fontId="1"/>
  </si>
  <si>
    <t>~349</t>
    <phoneticPr fontId="1"/>
  </si>
  <si>
    <t>~419</t>
    <phoneticPr fontId="1"/>
  </si>
  <si>
    <t>~489</t>
    <phoneticPr fontId="1"/>
  </si>
  <si>
    <t>~559</t>
    <phoneticPr fontId="1"/>
  </si>
  <si>
    <t>~629</t>
    <phoneticPr fontId="1"/>
  </si>
  <si>
    <t>~699</t>
    <phoneticPr fontId="1"/>
  </si>
  <si>
    <t>~769</t>
    <phoneticPr fontId="1"/>
  </si>
  <si>
    <t>~839</t>
    <phoneticPr fontId="1"/>
  </si>
  <si>
    <t>~909</t>
    <phoneticPr fontId="1"/>
  </si>
  <si>
    <t>~979</t>
    <phoneticPr fontId="1"/>
  </si>
  <si>
    <t>~1049</t>
    <phoneticPr fontId="1"/>
  </si>
  <si>
    <t>1050~</t>
    <phoneticPr fontId="1"/>
  </si>
  <si>
    <t>休日保育区分</t>
    <rPh sb="0" eb="2">
      <t>キュウジツ</t>
    </rPh>
    <rPh sb="2" eb="4">
      <t>ホイク</t>
    </rPh>
    <rPh sb="4" eb="6">
      <t>クブン</t>
    </rPh>
    <phoneticPr fontId="1"/>
  </si>
  <si>
    <t>休日保育加算の選択項目を修正（〇→人数選択）、集計表の表示も修正</t>
    <rPh sb="0" eb="2">
      <t>キュウジツ</t>
    </rPh>
    <rPh sb="2" eb="4">
      <t>ホイク</t>
    </rPh>
    <rPh sb="4" eb="6">
      <t>カサン</t>
    </rPh>
    <rPh sb="7" eb="9">
      <t>センタク</t>
    </rPh>
    <rPh sb="9" eb="11">
      <t>コウモク</t>
    </rPh>
    <rPh sb="12" eb="14">
      <t>シュウセイ</t>
    </rPh>
    <rPh sb="17" eb="19">
      <t>ニンズウ</t>
    </rPh>
    <rPh sb="19" eb="21">
      <t>センタク</t>
    </rPh>
    <rPh sb="23" eb="26">
      <t>シュウケイヒョウ</t>
    </rPh>
    <rPh sb="27" eb="29">
      <t>ヒョウジ</t>
    </rPh>
    <rPh sb="30" eb="32">
      <t>シュウセイ</t>
    </rPh>
    <phoneticPr fontId="1"/>
  </si>
  <si>
    <t>施設送付</t>
    <rPh sb="0" eb="2">
      <t>シセツ</t>
    </rPh>
    <rPh sb="2" eb="4">
      <t>ソウフ</t>
    </rPh>
    <phoneticPr fontId="1"/>
  </si>
  <si>
    <t>各加算の関係性シート_療育支援加算、学級編成調整加配加算、３歳児配置改善加算、満３歳児対応加配加算の条件矢印を修正。栄養管理加算追加。</t>
    <rPh sb="0" eb="1">
      <t>カク</t>
    </rPh>
    <rPh sb="1" eb="3">
      <t>カサン</t>
    </rPh>
    <rPh sb="4" eb="7">
      <t>カンケイセイ</t>
    </rPh>
    <rPh sb="11" eb="13">
      <t>リョウイク</t>
    </rPh>
    <rPh sb="13" eb="15">
      <t>シエン</t>
    </rPh>
    <rPh sb="15" eb="17">
      <t>カサン</t>
    </rPh>
    <rPh sb="18" eb="20">
      <t>ガッキュウ</t>
    </rPh>
    <rPh sb="20" eb="22">
      <t>ヘンセイ</t>
    </rPh>
    <rPh sb="22" eb="24">
      <t>チョウセイ</t>
    </rPh>
    <rPh sb="24" eb="26">
      <t>カハイ</t>
    </rPh>
    <rPh sb="26" eb="28">
      <t>カサン</t>
    </rPh>
    <rPh sb="30" eb="32">
      <t>サイジ</t>
    </rPh>
    <rPh sb="32" eb="34">
      <t>ハイチ</t>
    </rPh>
    <rPh sb="34" eb="36">
      <t>カイゼン</t>
    </rPh>
    <rPh sb="36" eb="38">
      <t>カサン</t>
    </rPh>
    <rPh sb="39" eb="40">
      <t>マン</t>
    </rPh>
    <rPh sb="41" eb="43">
      <t>サイジ</t>
    </rPh>
    <rPh sb="43" eb="45">
      <t>タイオウ</t>
    </rPh>
    <rPh sb="45" eb="47">
      <t>カハイ</t>
    </rPh>
    <rPh sb="47" eb="49">
      <t>カサン</t>
    </rPh>
    <rPh sb="50" eb="52">
      <t>ジョウケン</t>
    </rPh>
    <rPh sb="52" eb="54">
      <t>ヤジルシ</t>
    </rPh>
    <rPh sb="55" eb="57">
      <t>シュウセイ</t>
    </rPh>
    <rPh sb="58" eb="60">
      <t>エイヨウ</t>
    </rPh>
    <rPh sb="60" eb="62">
      <t>カンリ</t>
    </rPh>
    <rPh sb="62" eb="64">
      <t>カサン</t>
    </rPh>
    <rPh sb="64" eb="66">
      <t>ツイカ</t>
    </rPh>
    <phoneticPr fontId="1"/>
  </si>
  <si>
    <t>基本分単価における必要保育教諭等の数を満たしている</t>
    <rPh sb="0" eb="2">
      <t>キホン</t>
    </rPh>
    <rPh sb="2" eb="3">
      <t>ブン</t>
    </rPh>
    <rPh sb="3" eb="5">
      <t>タンカ</t>
    </rPh>
    <rPh sb="9" eb="11">
      <t>ヒツヨウ</t>
    </rPh>
    <rPh sb="11" eb="13">
      <t>ホイク</t>
    </rPh>
    <rPh sb="13" eb="15">
      <t>キョウユ</t>
    </rPh>
    <rPh sb="15" eb="16">
      <t>トウ</t>
    </rPh>
    <rPh sb="17" eb="18">
      <t>カズ</t>
    </rPh>
    <rPh sb="19" eb="20">
      <t>ミ</t>
    </rPh>
    <phoneticPr fontId="1"/>
  </si>
  <si>
    <t>④加算シートK13~M13_加算不可の条件を追加。基本分単価の～を満たさなければ一部加算を適用不可表示にする。</t>
    <rPh sb="1" eb="3">
      <t>カサン</t>
    </rPh>
    <rPh sb="14" eb="16">
      <t>カサン</t>
    </rPh>
    <rPh sb="16" eb="18">
      <t>フカ</t>
    </rPh>
    <rPh sb="19" eb="21">
      <t>ジョウケン</t>
    </rPh>
    <rPh sb="22" eb="24">
      <t>ツイカ</t>
    </rPh>
    <rPh sb="25" eb="27">
      <t>キホン</t>
    </rPh>
    <rPh sb="27" eb="28">
      <t>ブン</t>
    </rPh>
    <rPh sb="28" eb="30">
      <t>タンカ</t>
    </rPh>
    <rPh sb="33" eb="34">
      <t>ミ</t>
    </rPh>
    <rPh sb="40" eb="42">
      <t>イチブ</t>
    </rPh>
    <rPh sb="42" eb="44">
      <t>カサン</t>
    </rPh>
    <rPh sb="45" eb="47">
      <t>テキヨウ</t>
    </rPh>
    <rPh sb="47" eb="49">
      <t>フカ</t>
    </rPh>
    <rPh sb="49" eb="51">
      <t>ヒョウジ</t>
    </rPh>
    <phoneticPr fontId="1"/>
  </si>
  <si>
    <t>⑤集計表シート_入力不可の注釈を追加。</t>
    <rPh sb="1" eb="4">
      <t>シュウケイヒョウ</t>
    </rPh>
    <rPh sb="8" eb="10">
      <t>ニュウリョク</t>
    </rPh>
    <rPh sb="10" eb="12">
      <t>フカ</t>
    </rPh>
    <rPh sb="13" eb="15">
      <t>チュウシャク</t>
    </rPh>
    <rPh sb="16" eb="18">
      <t>ツイカ</t>
    </rPh>
    <phoneticPr fontId="1"/>
  </si>
  <si>
    <t>※この欄に入力された職員は、加算や職員数計算等に影響しません。必要に応じて、施設の備忘用にご使用ください。</t>
    <rPh sb="3" eb="4">
      <t>ラン</t>
    </rPh>
    <rPh sb="5" eb="7">
      <t>ニュウリョク</t>
    </rPh>
    <rPh sb="10" eb="12">
      <t>ショクイン</t>
    </rPh>
    <rPh sb="14" eb="16">
      <t>カサン</t>
    </rPh>
    <rPh sb="17" eb="19">
      <t>ショクイン</t>
    </rPh>
    <rPh sb="19" eb="20">
      <t>スウ</t>
    </rPh>
    <rPh sb="20" eb="22">
      <t>ケイサン</t>
    </rPh>
    <rPh sb="22" eb="23">
      <t>トウ</t>
    </rPh>
    <rPh sb="24" eb="26">
      <t>エイキョウ</t>
    </rPh>
    <rPh sb="31" eb="33">
      <t>ヒツヨウ</t>
    </rPh>
    <rPh sb="34" eb="35">
      <t>オウ</t>
    </rPh>
    <rPh sb="38" eb="40">
      <t>シセツ</t>
    </rPh>
    <rPh sb="41" eb="43">
      <t>ビボウ</t>
    </rPh>
    <rPh sb="43" eb="44">
      <t>ヨウ</t>
    </rPh>
    <rPh sb="46" eb="48">
      <t>シヨウ</t>
    </rPh>
    <phoneticPr fontId="1"/>
  </si>
  <si>
    <t>③職員名簿シートB22~26_加算や職員数計算に影響しない説明を追加。</t>
    <rPh sb="1" eb="3">
      <t>ショクイン</t>
    </rPh>
    <rPh sb="3" eb="5">
      <t>メイボ</t>
    </rPh>
    <rPh sb="15" eb="17">
      <t>カサン</t>
    </rPh>
    <rPh sb="18" eb="21">
      <t>ショクインスウ</t>
    </rPh>
    <rPh sb="21" eb="23">
      <t>ケイサン</t>
    </rPh>
    <rPh sb="24" eb="26">
      <t>エイキョウ</t>
    </rPh>
    <rPh sb="29" eb="31">
      <t>セツメイ</t>
    </rPh>
    <rPh sb="32" eb="34">
      <t>ツイカ</t>
    </rPh>
    <phoneticPr fontId="1"/>
  </si>
  <si>
    <t>③職員名簿シートB8~C15_役職等の条件注釈をコメントに移動。</t>
    <rPh sb="1" eb="3">
      <t>ショクイン</t>
    </rPh>
    <rPh sb="3" eb="5">
      <t>メイボ</t>
    </rPh>
    <rPh sb="15" eb="17">
      <t>ヤクショク</t>
    </rPh>
    <rPh sb="17" eb="18">
      <t>トウ</t>
    </rPh>
    <rPh sb="19" eb="21">
      <t>ジョウケン</t>
    </rPh>
    <rPh sb="21" eb="23">
      <t>チュウシャク</t>
    </rPh>
    <rPh sb="29" eb="31">
      <t>イドウ</t>
    </rPh>
    <phoneticPr fontId="1"/>
  </si>
  <si>
    <t>③職員名簿シート_入力に関する注釈を追加。</t>
    <rPh sb="1" eb="3">
      <t>ショクイン</t>
    </rPh>
    <rPh sb="3" eb="5">
      <t>メイボ</t>
    </rPh>
    <rPh sb="9" eb="11">
      <t>ニュウリョク</t>
    </rPh>
    <rPh sb="12" eb="13">
      <t>カン</t>
    </rPh>
    <rPh sb="15" eb="17">
      <t>チュウシャク</t>
    </rPh>
    <rPh sb="18" eb="20">
      <t>ツイカ</t>
    </rPh>
    <phoneticPr fontId="1"/>
  </si>
  <si>
    <t>④加算シート_【適用不可】表示に関する注釈を追加。</t>
    <rPh sb="1" eb="3">
      <t>カサン</t>
    </rPh>
    <rPh sb="8" eb="10">
      <t>テキヨウ</t>
    </rPh>
    <rPh sb="10" eb="12">
      <t>フカ</t>
    </rPh>
    <rPh sb="13" eb="15">
      <t>ヒョウジ</t>
    </rPh>
    <rPh sb="16" eb="17">
      <t>カン</t>
    </rPh>
    <rPh sb="19" eb="21">
      <t>チュウシャク</t>
    </rPh>
    <rPh sb="22" eb="24">
      <t>ツイカ</t>
    </rPh>
    <phoneticPr fontId="1"/>
  </si>
  <si>
    <t>加算等確認対象月</t>
    <rPh sb="0" eb="2">
      <t>カサン</t>
    </rPh>
    <rPh sb="2" eb="3">
      <t>トウ</t>
    </rPh>
    <rPh sb="3" eb="5">
      <t>カクニン</t>
    </rPh>
    <rPh sb="5" eb="7">
      <t>タイショウ</t>
    </rPh>
    <rPh sb="7" eb="8">
      <t>ツキ</t>
    </rPh>
    <phoneticPr fontId="1"/>
  </si>
  <si>
    <t>加算等確認対象月</t>
    <phoneticPr fontId="1"/>
  </si>
  <si>
    <t>加算対象月→加算等確認対象月へ変更。</t>
    <rPh sb="0" eb="2">
      <t>カサン</t>
    </rPh>
    <rPh sb="2" eb="4">
      <t>タイショウ</t>
    </rPh>
    <rPh sb="4" eb="5">
      <t>ツキ</t>
    </rPh>
    <rPh sb="6" eb="8">
      <t>カサン</t>
    </rPh>
    <rPh sb="8" eb="9">
      <t>トウ</t>
    </rPh>
    <rPh sb="9" eb="11">
      <t>カクニン</t>
    </rPh>
    <rPh sb="11" eb="13">
      <t>タイショウ</t>
    </rPh>
    <rPh sb="13" eb="14">
      <t>ツキ</t>
    </rPh>
    <rPh sb="15" eb="17">
      <t>ヘンコウ</t>
    </rPh>
    <phoneticPr fontId="1"/>
  </si>
  <si>
    <t>①基本情報シートの認可定員欄を1号、2号、3号の合計欄のみに修正。</t>
    <rPh sb="1" eb="3">
      <t>キホン</t>
    </rPh>
    <rPh sb="3" eb="5">
      <t>ジョウホウ</t>
    </rPh>
    <rPh sb="9" eb="11">
      <t>ニンカ</t>
    </rPh>
    <rPh sb="11" eb="13">
      <t>テイイン</t>
    </rPh>
    <rPh sb="13" eb="14">
      <t>ラン</t>
    </rPh>
    <rPh sb="16" eb="17">
      <t>ゴウ</t>
    </rPh>
    <rPh sb="19" eb="20">
      <t>ゴウ</t>
    </rPh>
    <rPh sb="22" eb="23">
      <t>ゴウ</t>
    </rPh>
    <rPh sb="24" eb="26">
      <t>ゴウケイ</t>
    </rPh>
    <rPh sb="26" eb="27">
      <t>ラン</t>
    </rPh>
    <rPh sb="30" eb="32">
      <t>シュウセイ</t>
    </rPh>
    <phoneticPr fontId="1"/>
  </si>
  <si>
    <t>全てのシートの右上にバージョン情報を表示</t>
    <rPh sb="0" eb="1">
      <t>スベ</t>
    </rPh>
    <rPh sb="7" eb="9">
      <t>ミギウエ</t>
    </rPh>
    <rPh sb="15" eb="17">
      <t>ジョウホウ</t>
    </rPh>
    <rPh sb="18" eb="20">
      <t>ヒョウジ</t>
    </rPh>
    <phoneticPr fontId="1"/>
  </si>
  <si>
    <t>　　1号認定（保育を必要とする子ども以外の子どもに係る利用定員）</t>
    <rPh sb="3" eb="4">
      <t>ゴウ</t>
    </rPh>
    <rPh sb="4" eb="6">
      <t>ニンテイ</t>
    </rPh>
    <phoneticPr fontId="1"/>
  </si>
  <si>
    <t>　　2号認定（保育を必要とする子どもに係る利用定員）</t>
    <rPh sb="3" eb="4">
      <t>ゴウ</t>
    </rPh>
    <rPh sb="4" eb="6">
      <t>ニンテイ</t>
    </rPh>
    <phoneticPr fontId="1"/>
  </si>
  <si>
    <t>　　3号認定（保育を必要とする子どもに係る利用定員）</t>
    <rPh sb="3" eb="4">
      <t>ゴウ</t>
    </rPh>
    <rPh sb="4" eb="6">
      <t>ニンテイ</t>
    </rPh>
    <phoneticPr fontId="1"/>
  </si>
  <si>
    <r>
      <t>認可定員</t>
    </r>
    <r>
      <rPr>
        <sz val="9"/>
        <color theme="1"/>
        <rFont val="游ゴシック"/>
        <family val="3"/>
        <charset val="128"/>
        <scheme val="minor"/>
      </rPr>
      <t>（就学前の子どもに関する教育、保育等の総合的な提供の推進に関する法律第4条第1項各号）</t>
    </r>
    <rPh sb="0" eb="2">
      <t>ニンカ</t>
    </rPh>
    <rPh sb="2" eb="4">
      <t>テイイン</t>
    </rPh>
    <rPh sb="5" eb="8">
      <t>シュウガクマエ</t>
    </rPh>
    <rPh sb="9" eb="10">
      <t>コ</t>
    </rPh>
    <rPh sb="13" eb="14">
      <t>カン</t>
    </rPh>
    <rPh sb="16" eb="18">
      <t>キョウイク</t>
    </rPh>
    <rPh sb="19" eb="21">
      <t>ホイク</t>
    </rPh>
    <rPh sb="21" eb="22">
      <t>トウ</t>
    </rPh>
    <rPh sb="23" eb="26">
      <t>ソウゴウテキ</t>
    </rPh>
    <rPh sb="27" eb="29">
      <t>テイキョウ</t>
    </rPh>
    <rPh sb="30" eb="32">
      <t>スイシン</t>
    </rPh>
    <rPh sb="33" eb="34">
      <t>カン</t>
    </rPh>
    <rPh sb="36" eb="38">
      <t>ホウリツ</t>
    </rPh>
    <rPh sb="38" eb="39">
      <t>ダイ</t>
    </rPh>
    <rPh sb="40" eb="41">
      <t>ジョウ</t>
    </rPh>
    <rPh sb="41" eb="42">
      <t>ダイ</t>
    </rPh>
    <rPh sb="43" eb="44">
      <t>コウ</t>
    </rPh>
    <rPh sb="44" eb="46">
      <t>カクゴウ</t>
    </rPh>
    <phoneticPr fontId="1"/>
  </si>
  <si>
    <t>（チーム保育加算用人数）</t>
    <rPh sb="4" eb="6">
      <t>ホイク</t>
    </rPh>
    <rPh sb="6" eb="8">
      <t>カサン</t>
    </rPh>
    <rPh sb="8" eb="9">
      <t>ヨウ</t>
    </rPh>
    <rPh sb="9" eb="11">
      <t>ニンズウ</t>
    </rPh>
    <phoneticPr fontId="1"/>
  </si>
  <si>
    <t>⑤集計表シート_チーム保育加配加算の人数計算の考え方を修正（O37追加）し、注釈を追加。</t>
    <rPh sb="1" eb="4">
      <t>シュウケイヒョウ</t>
    </rPh>
    <rPh sb="11" eb="13">
      <t>ホイク</t>
    </rPh>
    <rPh sb="13" eb="15">
      <t>カハイ</t>
    </rPh>
    <rPh sb="15" eb="17">
      <t>カサン</t>
    </rPh>
    <rPh sb="18" eb="20">
      <t>ニンズウ</t>
    </rPh>
    <rPh sb="20" eb="22">
      <t>ケイサン</t>
    </rPh>
    <rPh sb="23" eb="24">
      <t>カンガ</t>
    </rPh>
    <rPh sb="25" eb="26">
      <t>カタ</t>
    </rPh>
    <rPh sb="27" eb="29">
      <t>シュウセイ</t>
    </rPh>
    <rPh sb="33" eb="35">
      <t>ツイカ</t>
    </rPh>
    <rPh sb="38" eb="40">
      <t>チュウシャク</t>
    </rPh>
    <rPh sb="41" eb="43">
      <t>ツイカ</t>
    </rPh>
    <phoneticPr fontId="1"/>
  </si>
  <si>
    <t>各加算の関係性シート_子育て支援の取組み（２・３号）から施設機能強化加算への矢印を一部曲線に修正。</t>
    <rPh sb="0" eb="1">
      <t>カク</t>
    </rPh>
    <rPh sb="1" eb="3">
      <t>カサン</t>
    </rPh>
    <rPh sb="4" eb="7">
      <t>カンケイセイ</t>
    </rPh>
    <rPh sb="11" eb="13">
      <t>コソダ</t>
    </rPh>
    <rPh sb="14" eb="16">
      <t>シエン</t>
    </rPh>
    <rPh sb="17" eb="19">
      <t>トリクミ</t>
    </rPh>
    <rPh sb="24" eb="25">
      <t>ゴウ</t>
    </rPh>
    <rPh sb="28" eb="30">
      <t>シセツ</t>
    </rPh>
    <rPh sb="30" eb="32">
      <t>キノウ</t>
    </rPh>
    <rPh sb="32" eb="34">
      <t>キョウカ</t>
    </rPh>
    <rPh sb="34" eb="36">
      <t>カサン</t>
    </rPh>
    <rPh sb="38" eb="40">
      <t>ヤジルシ</t>
    </rPh>
    <rPh sb="41" eb="43">
      <t>イチブ</t>
    </rPh>
    <rPh sb="43" eb="45">
      <t>キョクセン</t>
    </rPh>
    <rPh sb="46" eb="48">
      <t>シュウセイ</t>
    </rPh>
    <phoneticPr fontId="1"/>
  </si>
  <si>
    <t>担任</t>
    <rPh sb="0" eb="2">
      <t>タンニン</t>
    </rPh>
    <phoneticPr fontId="1"/>
  </si>
  <si>
    <t>③職員名簿シート「担任」列を追加。（K列）</t>
    <rPh sb="1" eb="3">
      <t>ショクイン</t>
    </rPh>
    <rPh sb="3" eb="5">
      <t>メイボ</t>
    </rPh>
    <rPh sb="9" eb="11">
      <t>タンニン</t>
    </rPh>
    <rPh sb="12" eb="13">
      <t>レツ</t>
    </rPh>
    <rPh sb="14" eb="16">
      <t>ツイカ</t>
    </rPh>
    <rPh sb="19" eb="20">
      <t>レツ</t>
    </rPh>
    <phoneticPr fontId="1"/>
  </si>
  <si>
    <t>⑤集計表シートの「幼稚園型一時預かり」「一般型一時預かり」を、該当する場合にそれぞれ1名ずつ差し引いていたが、どちらかが該当していれば1名のみ引くこととする。（自治体向けFAQ Ver19より）</t>
    <rPh sb="1" eb="3">
      <t>シュウケイ</t>
    </rPh>
    <rPh sb="3" eb="4">
      <t>ヒョウ</t>
    </rPh>
    <rPh sb="9" eb="12">
      <t>ヨウチエン</t>
    </rPh>
    <rPh sb="12" eb="13">
      <t>ガタ</t>
    </rPh>
    <rPh sb="13" eb="15">
      <t>イチジ</t>
    </rPh>
    <rPh sb="15" eb="16">
      <t>アズ</t>
    </rPh>
    <rPh sb="20" eb="22">
      <t>イッパン</t>
    </rPh>
    <rPh sb="22" eb="23">
      <t>カタ</t>
    </rPh>
    <rPh sb="23" eb="25">
      <t>イチジ</t>
    </rPh>
    <rPh sb="25" eb="26">
      <t>アズ</t>
    </rPh>
    <rPh sb="31" eb="33">
      <t>ガイトウ</t>
    </rPh>
    <rPh sb="35" eb="37">
      <t>バアイ</t>
    </rPh>
    <rPh sb="43" eb="44">
      <t>メイ</t>
    </rPh>
    <rPh sb="46" eb="47">
      <t>サ</t>
    </rPh>
    <rPh sb="48" eb="49">
      <t>ヒ</t>
    </rPh>
    <rPh sb="60" eb="62">
      <t>ガイトウ</t>
    </rPh>
    <rPh sb="68" eb="69">
      <t>メイ</t>
    </rPh>
    <rPh sb="71" eb="72">
      <t>ヒ</t>
    </rPh>
    <rPh sb="80" eb="83">
      <t>ジチタイ</t>
    </rPh>
    <rPh sb="83" eb="84">
      <t>ム</t>
    </rPh>
    <phoneticPr fontId="1"/>
  </si>
  <si>
    <t>正式リリース</t>
    <rPh sb="0" eb="2">
      <t>セイシキ</t>
    </rPh>
    <phoneticPr fontId="1"/>
  </si>
  <si>
    <t>令和4年版検討開始</t>
    <rPh sb="0" eb="2">
      <t>レイワ</t>
    </rPh>
    <rPh sb="3" eb="5">
      <t>ネンバン</t>
    </rPh>
    <rPh sb="5" eb="7">
      <t>ケントウ</t>
    </rPh>
    <rPh sb="7" eb="9">
      <t>カイシ</t>
    </rPh>
    <phoneticPr fontId="1"/>
  </si>
  <si>
    <t>総職員数
（実人数）</t>
    <rPh sb="0" eb="1">
      <t>ソウ</t>
    </rPh>
    <rPh sb="1" eb="4">
      <t>ショクインスウ</t>
    </rPh>
    <rPh sb="6" eb="7">
      <t>ジツ</t>
    </rPh>
    <rPh sb="7" eb="9">
      <t>ニンズウ</t>
    </rPh>
    <phoneticPr fontId="1"/>
  </si>
  <si>
    <t>換算対象職員数
（実人数）</t>
    <rPh sb="0" eb="2">
      <t>カンサン</t>
    </rPh>
    <rPh sb="2" eb="4">
      <t>タイショウ</t>
    </rPh>
    <rPh sb="4" eb="6">
      <t>ショクイン</t>
    </rPh>
    <rPh sb="6" eb="7">
      <t>スウ</t>
    </rPh>
    <rPh sb="9" eb="10">
      <t>ジツ</t>
    </rPh>
    <rPh sb="10" eb="12">
      <t>ニンズウ</t>
    </rPh>
    <phoneticPr fontId="1"/>
  </si>
  <si>
    <t>総職員数
（常勤換算値）</t>
    <phoneticPr fontId="1"/>
  </si>
  <si>
    <t>換算対象職員数
（常勤換算値）</t>
    <rPh sb="0" eb="2">
      <t>カンサン</t>
    </rPh>
    <rPh sb="2" eb="4">
      <t>タイショウ</t>
    </rPh>
    <phoneticPr fontId="1"/>
  </si>
  <si>
    <t>事務職員</t>
  </si>
  <si>
    <t>総職員</t>
    <rPh sb="0" eb="1">
      <t>ソウ</t>
    </rPh>
    <rPh sb="1" eb="3">
      <t>ショクイン</t>
    </rPh>
    <phoneticPr fontId="1"/>
  </si>
  <si>
    <t>職員数換算</t>
    <rPh sb="0" eb="3">
      <t>ショクインスウ</t>
    </rPh>
    <rPh sb="3" eb="5">
      <t>カンサン</t>
    </rPh>
    <phoneticPr fontId="1"/>
  </si>
  <si>
    <t>③職員名簿_総職員数・換算対象職員数の自動計算表を追加。</t>
    <rPh sb="1" eb="3">
      <t>ショクイン</t>
    </rPh>
    <rPh sb="3" eb="5">
      <t>メイボ</t>
    </rPh>
    <rPh sb="6" eb="7">
      <t>ソウ</t>
    </rPh>
    <rPh sb="7" eb="10">
      <t>ショクインスウ</t>
    </rPh>
    <rPh sb="11" eb="13">
      <t>カンサン</t>
    </rPh>
    <rPh sb="13" eb="15">
      <t>タイショウ</t>
    </rPh>
    <rPh sb="15" eb="17">
      <t>ショクイン</t>
    </rPh>
    <rPh sb="17" eb="18">
      <t>スウ</t>
    </rPh>
    <rPh sb="19" eb="21">
      <t>ジドウ</t>
    </rPh>
    <rPh sb="21" eb="23">
      <t>ケイサン</t>
    </rPh>
    <rPh sb="23" eb="24">
      <t>ヒョウ</t>
    </rPh>
    <rPh sb="25" eb="27">
      <t>ツイカ</t>
    </rPh>
    <phoneticPr fontId="1"/>
  </si>
  <si>
    <t>③職員名簿_障がい児のための加配職員数入力欄追加。</t>
    <rPh sb="1" eb="3">
      <t>ショクイン</t>
    </rPh>
    <rPh sb="3" eb="5">
      <t>メイボ</t>
    </rPh>
    <rPh sb="6" eb="7">
      <t>ショウ</t>
    </rPh>
    <rPh sb="9" eb="10">
      <t>ジ</t>
    </rPh>
    <rPh sb="14" eb="16">
      <t>カハイ</t>
    </rPh>
    <rPh sb="16" eb="19">
      <t>ショクインスウ</t>
    </rPh>
    <rPh sb="19" eb="21">
      <t>ニュウリョク</t>
    </rPh>
    <rPh sb="21" eb="22">
      <t>ラン</t>
    </rPh>
    <rPh sb="22" eb="24">
      <t>ツイカ</t>
    </rPh>
    <phoneticPr fontId="1"/>
  </si>
  <si>
    <r>
      <t>利用定員</t>
    </r>
    <r>
      <rPr>
        <b/>
        <sz val="9"/>
        <color theme="1"/>
        <rFont val="游ゴシック"/>
        <family val="3"/>
        <charset val="128"/>
        <scheme val="minor"/>
      </rPr>
      <t>（認可定員の範囲内で、市と施設との協議で決定します）</t>
    </r>
    <rPh sb="0" eb="2">
      <t>リヨウ</t>
    </rPh>
    <rPh sb="2" eb="4">
      <t>テイイン</t>
    </rPh>
    <rPh sb="5" eb="7">
      <t>ニンカ</t>
    </rPh>
    <rPh sb="7" eb="9">
      <t>テイイン</t>
    </rPh>
    <rPh sb="10" eb="12">
      <t>ハンイ</t>
    </rPh>
    <rPh sb="12" eb="13">
      <t>ナイ</t>
    </rPh>
    <rPh sb="15" eb="16">
      <t>シ</t>
    </rPh>
    <rPh sb="17" eb="19">
      <t>シセツ</t>
    </rPh>
    <rPh sb="21" eb="23">
      <t>キョウギ</t>
    </rPh>
    <rPh sb="24" eb="26">
      <t>ケッテイ</t>
    </rPh>
    <phoneticPr fontId="1"/>
  </si>
  <si>
    <t>プレリリース（4月確認用）</t>
    <rPh sb="8" eb="9">
      <t>ガツ</t>
    </rPh>
    <rPh sb="9" eb="12">
      <t>カクニンヨウ</t>
    </rPh>
    <phoneticPr fontId="1"/>
  </si>
  <si>
    <t>R4年度　特定教育・保育施設等における職員配置の考え方</t>
    <rPh sb="2" eb="4">
      <t>ネンド</t>
    </rPh>
    <rPh sb="5" eb="9">
      <t>トクテイキョウイク</t>
    </rPh>
    <rPh sb="10" eb="15">
      <t>ホイクシセツナド</t>
    </rPh>
    <rPh sb="19" eb="21">
      <t>ショクイン</t>
    </rPh>
    <rPh sb="21" eb="23">
      <t>ハイチ</t>
    </rPh>
    <rPh sb="24" eb="25">
      <t>カンガ</t>
    </rPh>
    <rPh sb="26" eb="27">
      <t>カタ</t>
    </rPh>
    <phoneticPr fontId="1"/>
  </si>
  <si>
    <t>令和5年度用様式作成開始</t>
    <rPh sb="0" eb="2">
      <t>レイワ</t>
    </rPh>
    <rPh sb="3" eb="5">
      <t>ネンド</t>
    </rPh>
    <rPh sb="5" eb="6">
      <t>ヨウ</t>
    </rPh>
    <rPh sb="6" eb="8">
      <t>ヨウシキ</t>
    </rPh>
    <rPh sb="8" eb="10">
      <t>サクセイ</t>
    </rPh>
    <rPh sb="10" eb="12">
      <t>カイシ</t>
    </rPh>
    <phoneticPr fontId="1"/>
  </si>
  <si>
    <t>副園長を年齢別配置基準の算定対象に含める（③④）</t>
    <rPh sb="0" eb="3">
      <t>フクエンチョウ</t>
    </rPh>
    <rPh sb="4" eb="6">
      <t>ネンレイ</t>
    </rPh>
    <rPh sb="6" eb="7">
      <t>ベツ</t>
    </rPh>
    <rPh sb="7" eb="9">
      <t>ハイチ</t>
    </rPh>
    <rPh sb="9" eb="11">
      <t>キジュン</t>
    </rPh>
    <rPh sb="12" eb="14">
      <t>サンテイ</t>
    </rPh>
    <rPh sb="14" eb="16">
      <t>タイショウ</t>
    </rPh>
    <rPh sb="17" eb="18">
      <t>フク</t>
    </rPh>
    <phoneticPr fontId="1"/>
  </si>
  <si>
    <t>　教育・保育給付に係る加算等確認表（認定こども園）</t>
    <phoneticPr fontId="1"/>
  </si>
  <si>
    <t>預かり専任職員</t>
    <rPh sb="0" eb="1">
      <t>アズ</t>
    </rPh>
    <rPh sb="3" eb="5">
      <t>センニン</t>
    </rPh>
    <rPh sb="5" eb="7">
      <t>ショクイン</t>
    </rPh>
    <phoneticPr fontId="1"/>
  </si>
  <si>
    <t>休憩保育職員</t>
    <rPh sb="0" eb="2">
      <t>キュウケイ</t>
    </rPh>
    <rPh sb="2" eb="4">
      <t>ホイク</t>
    </rPh>
    <rPh sb="4" eb="6">
      <t>ショクイン</t>
    </rPh>
    <phoneticPr fontId="1"/>
  </si>
  <si>
    <t>保育標準時間対応職員</t>
    <rPh sb="0" eb="6">
      <t>ホイクヒョウジュンジカン</t>
    </rPh>
    <rPh sb="6" eb="8">
      <t>タイオウ</t>
    </rPh>
    <rPh sb="8" eb="10">
      <t>ショクイン</t>
    </rPh>
    <phoneticPr fontId="1"/>
  </si>
  <si>
    <t>（Ａ）</t>
    <phoneticPr fontId="1"/>
  </si>
  <si>
    <t>（Ｂ）</t>
    <phoneticPr fontId="1"/>
  </si>
  <si>
    <t>（Ｃ）</t>
    <phoneticPr fontId="1"/>
  </si>
  <si>
    <t>（Ｄ）</t>
    <phoneticPr fontId="1"/>
  </si>
  <si>
    <t>（Ｅ）</t>
    <phoneticPr fontId="1"/>
  </si>
  <si>
    <t>対象保育教諭（※１）</t>
    <rPh sb="0" eb="2">
      <t>タイショウ</t>
    </rPh>
    <rPh sb="2" eb="4">
      <t>ホイク</t>
    </rPh>
    <rPh sb="4" eb="6">
      <t>キョウユ</t>
    </rPh>
    <phoneticPr fontId="1"/>
  </si>
  <si>
    <t>年齢別配置基準に必要な保育教諭数（※２）</t>
    <rPh sb="0" eb="2">
      <t>ネンレイ</t>
    </rPh>
    <rPh sb="2" eb="3">
      <t>ベツ</t>
    </rPh>
    <rPh sb="3" eb="5">
      <t>ハイチ</t>
    </rPh>
    <rPh sb="5" eb="7">
      <t>キジュン</t>
    </rPh>
    <rPh sb="8" eb="10">
      <t>ヒツヨウ</t>
    </rPh>
    <rPh sb="11" eb="13">
      <t>ホイク</t>
    </rPh>
    <rPh sb="13" eb="15">
      <t>キョウユ</t>
    </rPh>
    <rPh sb="15" eb="16">
      <t>スウ</t>
    </rPh>
    <phoneticPr fontId="1"/>
  </si>
  <si>
    <t>加配職員として配置できる最大職員数（常勤換算）を算定します。</t>
    <rPh sb="0" eb="2">
      <t>カハイ</t>
    </rPh>
    <rPh sb="2" eb="4">
      <t>ショクイン</t>
    </rPh>
    <rPh sb="7" eb="9">
      <t>ハイチ</t>
    </rPh>
    <rPh sb="12" eb="14">
      <t>サイダイ</t>
    </rPh>
    <rPh sb="14" eb="17">
      <t>ショクインスウ</t>
    </rPh>
    <rPh sb="18" eb="20">
      <t>ジョウキン</t>
    </rPh>
    <rPh sb="20" eb="22">
      <t>カンサン</t>
    </rPh>
    <rPh sb="24" eb="26">
      <t>サンテイ</t>
    </rPh>
    <phoneticPr fontId="1"/>
  </si>
  <si>
    <t>⇒</t>
    <phoneticPr fontId="1"/>
  </si>
  <si>
    <t>加配職員として配置できる最大職員数（常勤換算）</t>
  </si>
  <si>
    <t>（Ｆ）</t>
    <phoneticPr fontId="1"/>
  </si>
  <si>
    <t>（Ｆ）＝（Ａ）－（Ｂ）－（Ｃ）－（Ｄ）－（Ｅ）</t>
    <phoneticPr fontId="1"/>
  </si>
  <si>
    <t>※１　対象保育教諭は、保育に従事する保育教諭・看護師が対象。
　　　ただし、園長、副園長（免許状無し）、調理師や事務職員等保育に従事しな
　　　い職員、所管保育教諭代替職員は対象外とする。
　　　なお、療育支援加算対象職員に充てる職員については、保育士免許が無くて
　　　も対象とする。</t>
    <rPh sb="3" eb="5">
      <t>タイショウ</t>
    </rPh>
    <rPh sb="5" eb="7">
      <t>ホイク</t>
    </rPh>
    <rPh sb="7" eb="9">
      <t>キョウユ</t>
    </rPh>
    <rPh sb="11" eb="13">
      <t>ホイク</t>
    </rPh>
    <rPh sb="14" eb="16">
      <t>ジュウジ</t>
    </rPh>
    <rPh sb="18" eb="20">
      <t>ホイク</t>
    </rPh>
    <rPh sb="20" eb="22">
      <t>キョウユ</t>
    </rPh>
    <rPh sb="23" eb="26">
      <t>カンゴシ</t>
    </rPh>
    <rPh sb="27" eb="29">
      <t>タイショウ</t>
    </rPh>
    <rPh sb="38" eb="40">
      <t>エンチョウ</t>
    </rPh>
    <rPh sb="41" eb="44">
      <t>フクエンチョウ</t>
    </rPh>
    <rPh sb="45" eb="48">
      <t>メンキョジョウ</t>
    </rPh>
    <rPh sb="48" eb="49">
      <t>ナ</t>
    </rPh>
    <rPh sb="52" eb="55">
      <t>チョウリシ</t>
    </rPh>
    <rPh sb="56" eb="58">
      <t>ジム</t>
    </rPh>
    <rPh sb="58" eb="60">
      <t>ショクイン</t>
    </rPh>
    <rPh sb="60" eb="61">
      <t>トウ</t>
    </rPh>
    <rPh sb="61" eb="63">
      <t>ホイク</t>
    </rPh>
    <rPh sb="64" eb="66">
      <t>ジュウジ</t>
    </rPh>
    <rPh sb="73" eb="75">
      <t>ショクイン</t>
    </rPh>
    <rPh sb="76" eb="78">
      <t>ショカン</t>
    </rPh>
    <rPh sb="78" eb="80">
      <t>ホイク</t>
    </rPh>
    <rPh sb="80" eb="82">
      <t>キョウユ</t>
    </rPh>
    <rPh sb="82" eb="84">
      <t>ダイタイ</t>
    </rPh>
    <rPh sb="84" eb="86">
      <t>ショクイン</t>
    </rPh>
    <rPh sb="87" eb="90">
      <t>タイショウガイ</t>
    </rPh>
    <rPh sb="101" eb="103">
      <t>リョウイク</t>
    </rPh>
    <rPh sb="103" eb="105">
      <t>シエン</t>
    </rPh>
    <rPh sb="105" eb="107">
      <t>カサン</t>
    </rPh>
    <rPh sb="107" eb="109">
      <t>タイショウ</t>
    </rPh>
    <rPh sb="109" eb="111">
      <t>ショクイン</t>
    </rPh>
    <rPh sb="112" eb="113">
      <t>ア</t>
    </rPh>
    <rPh sb="115" eb="117">
      <t>ショクイン</t>
    </rPh>
    <rPh sb="123" eb="125">
      <t>ホイク</t>
    </rPh>
    <rPh sb="125" eb="126">
      <t>シ</t>
    </rPh>
    <rPh sb="126" eb="128">
      <t>メンキョ</t>
    </rPh>
    <rPh sb="129" eb="130">
      <t>ナ</t>
    </rPh>
    <rPh sb="137" eb="139">
      <t>タイショウ</t>
    </rPh>
    <phoneticPr fontId="1"/>
  </si>
  <si>
    <t>※２　年齢別配置基準の計算に、3歳児配置改善加算は加味しない。</t>
    <rPh sb="3" eb="5">
      <t>ネンレイ</t>
    </rPh>
    <rPh sb="5" eb="6">
      <t>ベツ</t>
    </rPh>
    <rPh sb="6" eb="8">
      <t>ハイチ</t>
    </rPh>
    <rPh sb="8" eb="10">
      <t>キジュン</t>
    </rPh>
    <rPh sb="11" eb="13">
      <t>ケイサン</t>
    </rPh>
    <rPh sb="16" eb="18">
      <t>サイジ</t>
    </rPh>
    <rPh sb="18" eb="20">
      <t>ハイチ</t>
    </rPh>
    <rPh sb="20" eb="22">
      <t>カイゼン</t>
    </rPh>
    <rPh sb="22" eb="24">
      <t>カサン</t>
    </rPh>
    <rPh sb="25" eb="27">
      <t>カミ</t>
    </rPh>
    <phoneticPr fontId="1"/>
  </si>
  <si>
    <t>⑥加配職員判定シートの作成・③職員名簿からの加配職員算定削除</t>
    <rPh sb="1" eb="3">
      <t>カハイ</t>
    </rPh>
    <rPh sb="3" eb="5">
      <t>ショクイン</t>
    </rPh>
    <rPh sb="5" eb="7">
      <t>ハンテイ</t>
    </rPh>
    <rPh sb="11" eb="13">
      <t>サクセイ</t>
    </rPh>
    <rPh sb="15" eb="17">
      <t>ショクイン</t>
    </rPh>
    <rPh sb="17" eb="19">
      <t>メイボ</t>
    </rPh>
    <rPh sb="22" eb="24">
      <t>カハイ</t>
    </rPh>
    <rPh sb="24" eb="26">
      <t>ショクイン</t>
    </rPh>
    <rPh sb="26" eb="28">
      <t>サンテイ</t>
    </rPh>
    <rPh sb="28" eb="30">
      <t>サクジョ</t>
    </rPh>
    <phoneticPr fontId="1"/>
  </si>
  <si>
    <t>障がい児のための
加配職員数</t>
    <rPh sb="0" eb="1">
      <t>ショウ</t>
    </rPh>
    <rPh sb="3" eb="4">
      <t>ジ</t>
    </rPh>
    <rPh sb="9" eb="11">
      <t>カハイ</t>
    </rPh>
    <rPh sb="11" eb="14">
      <t>ショクインスウ</t>
    </rPh>
    <phoneticPr fontId="1"/>
  </si>
  <si>
    <t>常勤</t>
    <rPh sb="0" eb="2">
      <t>ジョウキン</t>
    </rPh>
    <phoneticPr fontId="1"/>
  </si>
  <si>
    <t>非常勤（実人数）</t>
    <rPh sb="0" eb="3">
      <t>ヒジョウキン</t>
    </rPh>
    <rPh sb="4" eb="5">
      <t>ジツ</t>
    </rPh>
    <rPh sb="5" eb="7">
      <t>ニンズウ</t>
    </rPh>
    <phoneticPr fontId="1"/>
  </si>
  <si>
    <t>非常勤（常勤換算）</t>
    <rPh sb="0" eb="3">
      <t>ヒジョウキン</t>
    </rPh>
    <rPh sb="4" eb="6">
      <t>ジョウキン</t>
    </rPh>
    <rPh sb="6" eb="8">
      <t>カンサン</t>
    </rPh>
    <phoneticPr fontId="1"/>
  </si>
  <si>
    <r>
      <t>※1号認定の加配児童</t>
    </r>
    <r>
      <rPr>
        <b/>
        <sz val="9"/>
        <color theme="1"/>
        <rFont val="游ゴシック"/>
        <family val="3"/>
        <charset val="128"/>
        <scheme val="minor"/>
      </rPr>
      <t>専任</t>
    </r>
    <r>
      <rPr>
        <sz val="9"/>
        <color theme="1"/>
        <rFont val="游ゴシック"/>
        <family val="3"/>
        <charset val="128"/>
        <scheme val="minor"/>
      </rPr>
      <t>の職員がいる場合は、上記の内数として入力してください。（常勤換算後の数値）</t>
    </r>
    <rPh sb="2" eb="3">
      <t>ゴウ</t>
    </rPh>
    <rPh sb="3" eb="5">
      <t>ニンテイ</t>
    </rPh>
    <rPh sb="6" eb="8">
      <t>カハイ</t>
    </rPh>
    <rPh sb="8" eb="10">
      <t>ジドウ</t>
    </rPh>
    <rPh sb="10" eb="12">
      <t>センニン</t>
    </rPh>
    <rPh sb="13" eb="15">
      <t>ショクイン</t>
    </rPh>
    <rPh sb="18" eb="20">
      <t>バアイ</t>
    </rPh>
    <rPh sb="22" eb="24">
      <t>ジョウキ</t>
    </rPh>
    <rPh sb="25" eb="27">
      <t>ウチスウ</t>
    </rPh>
    <rPh sb="30" eb="32">
      <t>ニュウリョク</t>
    </rPh>
    <rPh sb="40" eb="42">
      <t>ジョウキン</t>
    </rPh>
    <rPh sb="42" eb="44">
      <t>カンサン</t>
    </rPh>
    <rPh sb="44" eb="45">
      <t>ゴ</t>
    </rPh>
    <rPh sb="46" eb="48">
      <t>スウチ</t>
    </rPh>
    <phoneticPr fontId="1"/>
  </si>
  <si>
    <t>←（自動計算）</t>
    <rPh sb="2" eb="4">
      <t>ジドウ</t>
    </rPh>
    <rPh sb="4" eb="6">
      <t>ケイサン</t>
    </rPh>
    <phoneticPr fontId="1"/>
  </si>
  <si>
    <t>【👇入力してください】</t>
    <rPh sb="3" eb="5">
      <t>ニュウリョク</t>
    </rPh>
    <phoneticPr fontId="1"/>
  </si>
  <si>
    <t>⑥に加配職員数設問追加</t>
    <rPh sb="2" eb="4">
      <t>カハイ</t>
    </rPh>
    <rPh sb="4" eb="7">
      <t>ショクインスウ</t>
    </rPh>
    <rPh sb="7" eb="9">
      <t>セツモン</t>
    </rPh>
    <rPh sb="9" eb="11">
      <t>ツイカ</t>
    </rPh>
    <phoneticPr fontId="1"/>
  </si>
  <si>
    <t>プレリリース</t>
    <phoneticPr fontId="1"/>
  </si>
  <si>
    <t>特例の場合〇</t>
    <rPh sb="0" eb="2">
      <t>トクレイ</t>
    </rPh>
    <rPh sb="3" eb="5">
      <t>バアイ</t>
    </rPh>
    <phoneticPr fontId="1"/>
  </si>
  <si>
    <t>兼務状況</t>
    <rPh sb="0" eb="2">
      <t>ケンム</t>
    </rPh>
    <rPh sb="2" eb="4">
      <t>ジョウキョウ</t>
    </rPh>
    <phoneticPr fontId="1"/>
  </si>
  <si>
    <t>兼務あり/なし
（選択）</t>
    <rPh sb="0" eb="2">
      <t>ケンム</t>
    </rPh>
    <rPh sb="9" eb="11">
      <t>センタク</t>
    </rPh>
    <phoneticPr fontId="1"/>
  </si>
  <si>
    <t>勤務施設
（ありの場合入力）</t>
    <rPh sb="0" eb="2">
      <t>キンム</t>
    </rPh>
    <rPh sb="2" eb="4">
      <t>シセツ</t>
    </rPh>
    <rPh sb="9" eb="11">
      <t>バアイ</t>
    </rPh>
    <rPh sb="11" eb="13">
      <t>ニュウリョク</t>
    </rPh>
    <phoneticPr fontId="1"/>
  </si>
  <si>
    <t>月間勤務時間
(ありの場合入力）</t>
    <rPh sb="0" eb="2">
      <t>ゲッカン</t>
    </rPh>
    <rPh sb="2" eb="4">
      <t>キンム</t>
    </rPh>
    <rPh sb="4" eb="6">
      <t>ジカン</t>
    </rPh>
    <rPh sb="11" eb="13">
      <t>バアイ</t>
    </rPh>
    <rPh sb="13" eb="15">
      <t>ニュウリョク</t>
    </rPh>
    <phoneticPr fontId="1"/>
  </si>
  <si>
    <t>処遇改善等加算Ⅲ</t>
    <rPh sb="0" eb="2">
      <t>ショグウ</t>
    </rPh>
    <rPh sb="2" eb="4">
      <t>カイゼン</t>
    </rPh>
    <rPh sb="4" eb="5">
      <t>トウ</t>
    </rPh>
    <rPh sb="5" eb="7">
      <t>カサン</t>
    </rPh>
    <phoneticPr fontId="1"/>
  </si>
  <si>
    <t>処遇Ⅲ</t>
    <rPh sb="0" eb="2">
      <t>ショグウ</t>
    </rPh>
    <phoneticPr fontId="1"/>
  </si>
  <si>
    <t>③職員名簿　兼務状況追加</t>
    <rPh sb="1" eb="3">
      <t>ショクイン</t>
    </rPh>
    <rPh sb="3" eb="5">
      <t>メイボ</t>
    </rPh>
    <rPh sb="6" eb="8">
      <t>ケンム</t>
    </rPh>
    <rPh sb="8" eb="10">
      <t>ジョウキョウ</t>
    </rPh>
    <rPh sb="10" eb="12">
      <t>ツイカ</t>
    </rPh>
    <phoneticPr fontId="1"/>
  </si>
  <si>
    <t>令和6年度　職員配置と各加算の関係性</t>
    <rPh sb="0" eb="2">
      <t>レイワ</t>
    </rPh>
    <rPh sb="3" eb="5">
      <t>ネンド</t>
    </rPh>
    <rPh sb="6" eb="8">
      <t>ショクイン</t>
    </rPh>
    <rPh sb="8" eb="10">
      <t>ハイチ</t>
    </rPh>
    <rPh sb="11" eb="12">
      <t>カク</t>
    </rPh>
    <rPh sb="12" eb="14">
      <t>カサン</t>
    </rPh>
    <rPh sb="15" eb="18">
      <t>カンケイセイ</t>
    </rPh>
    <phoneticPr fontId="1"/>
  </si>
  <si>
    <t>※チーム保育加配加算との併給は不可</t>
    <rPh sb="4" eb="6">
      <t>ホイク</t>
    </rPh>
    <rPh sb="6" eb="8">
      <t>カハイ</t>
    </rPh>
    <rPh sb="8" eb="10">
      <t>カサン</t>
    </rPh>
    <rPh sb="12" eb="14">
      <t>ヘイキュウ</t>
    </rPh>
    <rPh sb="15" eb="17">
      <t>フカ</t>
    </rPh>
    <phoneticPr fontId="1"/>
  </si>
  <si>
    <t>4歳以上児配置改善加算</t>
    <rPh sb="1" eb="4">
      <t>サイイジョウ</t>
    </rPh>
    <rPh sb="4" eb="5">
      <t>ジ</t>
    </rPh>
    <rPh sb="5" eb="7">
      <t>ハイチ</t>
    </rPh>
    <rPh sb="7" eb="9">
      <t>カイゼン</t>
    </rPh>
    <rPh sb="9" eb="11">
      <t>カサン</t>
    </rPh>
    <phoneticPr fontId="1"/>
  </si>
  <si>
    <t>4以上配置</t>
    <rPh sb="1" eb="3">
      <t>イジョウ</t>
    </rPh>
    <rPh sb="3" eb="5">
      <t>ハイチ</t>
    </rPh>
    <phoneticPr fontId="1"/>
  </si>
  <si>
    <t>４歳以上児配置改善加算セット</t>
    <rPh sb="1" eb="11">
      <t>サイイジョウジハイチカイゼンカサン</t>
    </rPh>
    <phoneticPr fontId="1"/>
  </si>
  <si>
    <t>法根拠は留意事項発出後に再チェック</t>
    <rPh sb="0" eb="1">
      <t>ホウ</t>
    </rPh>
    <rPh sb="1" eb="3">
      <t>コンキョ</t>
    </rPh>
    <rPh sb="4" eb="6">
      <t>リュウイ</t>
    </rPh>
    <rPh sb="6" eb="8">
      <t>ジコウ</t>
    </rPh>
    <rPh sb="8" eb="10">
      <t>ハッシュツ</t>
    </rPh>
    <rPh sb="10" eb="11">
      <t>ゴ</t>
    </rPh>
    <rPh sb="12" eb="13">
      <t>サイ</t>
    </rPh>
    <phoneticPr fontId="1"/>
  </si>
  <si>
    <t>①</t>
    <phoneticPr fontId="1"/>
  </si>
  <si>
    <t>教育委員会又は幼児教育アドバイザー等と連携し
園内研修を企画・実施している</t>
    <rPh sb="0" eb="2">
      <t>キョウイク</t>
    </rPh>
    <rPh sb="2" eb="5">
      <t>イインカイ</t>
    </rPh>
    <rPh sb="5" eb="6">
      <t>マタ</t>
    </rPh>
    <rPh sb="7" eb="9">
      <t>ヨウジ</t>
    </rPh>
    <rPh sb="9" eb="11">
      <t>キョウイク</t>
    </rPh>
    <rPh sb="17" eb="18">
      <t>トウ</t>
    </rPh>
    <rPh sb="19" eb="21">
      <t>レンケイ</t>
    </rPh>
    <rPh sb="23" eb="24">
      <t>エン</t>
    </rPh>
    <rPh sb="24" eb="25">
      <t>ナイ</t>
    </rPh>
    <rPh sb="25" eb="27">
      <t>ケンシュウ</t>
    </rPh>
    <rPh sb="28" eb="30">
      <t>キカク</t>
    </rPh>
    <rPh sb="31" eb="33">
      <t>ジッシ</t>
    </rPh>
    <phoneticPr fontId="1"/>
  </si>
  <si>
    <t>２号認定</t>
  </si>
  <si>
    <t>標準時間</t>
  </si>
  <si>
    <t>連携研修</t>
    <rPh sb="0" eb="2">
      <t>レンケイ</t>
    </rPh>
    <rPh sb="2" eb="4">
      <t>ケンシュウ</t>
    </rPh>
    <phoneticPr fontId="1"/>
  </si>
  <si>
    <t>記載例認定こども園</t>
    <rPh sb="0" eb="2">
      <t>キサイ</t>
    </rPh>
    <rPh sb="2" eb="3">
      <t>レイ</t>
    </rPh>
    <rPh sb="3" eb="5">
      <t>ニンテイ</t>
    </rPh>
    <rPh sb="8" eb="9">
      <t>エン</t>
    </rPh>
    <phoneticPr fontId="1"/>
  </si>
  <si>
    <t>○○　○○</t>
  </si>
  <si>
    <t>１号認定</t>
  </si>
  <si>
    <t>短時間</t>
  </si>
  <si>
    <t>３号認定</t>
  </si>
  <si>
    <r>
      <t xml:space="preserve">職務分野別リーダー
</t>
    </r>
    <r>
      <rPr>
        <sz val="7"/>
        <color theme="1"/>
        <rFont val="游ゴシック"/>
        <family val="3"/>
        <charset val="128"/>
        <scheme val="minor"/>
      </rPr>
      <t>（幼児教育）</t>
    </r>
    <rPh sb="0" eb="2">
      <t>ショクム</t>
    </rPh>
    <rPh sb="2" eb="4">
      <t>ブンヤ</t>
    </rPh>
    <rPh sb="4" eb="5">
      <t>ベツ</t>
    </rPh>
    <rPh sb="11" eb="13">
      <t>ヨウジ</t>
    </rPh>
    <rPh sb="13" eb="15">
      <t>キョウイク</t>
    </rPh>
    <phoneticPr fontId="1"/>
  </si>
  <si>
    <r>
      <t xml:space="preserve">職務分野別リーダー
</t>
    </r>
    <r>
      <rPr>
        <sz val="7"/>
        <color theme="1"/>
        <rFont val="游ゴシック"/>
        <family val="3"/>
        <charset val="128"/>
        <scheme val="minor"/>
      </rPr>
      <t>（乳児保育）</t>
    </r>
    <rPh sb="0" eb="2">
      <t>ショクム</t>
    </rPh>
    <rPh sb="2" eb="4">
      <t>ブンヤ</t>
    </rPh>
    <rPh sb="4" eb="5">
      <t>ベツ</t>
    </rPh>
    <rPh sb="11" eb="13">
      <t>ニュウジ</t>
    </rPh>
    <rPh sb="13" eb="15">
      <t>ホイク</t>
    </rPh>
    <phoneticPr fontId="1"/>
  </si>
  <si>
    <t>職務分野別リーダー
（保護者支援・子育て支援）</t>
    <rPh sb="0" eb="2">
      <t>ショクム</t>
    </rPh>
    <rPh sb="2" eb="4">
      <t>ブンヤ</t>
    </rPh>
    <rPh sb="4" eb="5">
      <t>ベツ</t>
    </rPh>
    <rPh sb="11" eb="14">
      <t>ホゴシャ</t>
    </rPh>
    <rPh sb="14" eb="16">
      <t>シエン</t>
    </rPh>
    <rPh sb="17" eb="19">
      <t>コソダ</t>
    </rPh>
    <rPh sb="20" eb="22">
      <t>シエン</t>
    </rPh>
    <phoneticPr fontId="1"/>
  </si>
  <si>
    <r>
      <t xml:space="preserve">事務長
</t>
    </r>
    <r>
      <rPr>
        <sz val="7"/>
        <color theme="1"/>
        <rFont val="游ゴシック"/>
        <family val="3"/>
        <charset val="128"/>
        <scheme val="minor"/>
      </rPr>
      <t>（保健衛生・安全対策）</t>
    </r>
    <rPh sb="0" eb="2">
      <t>ジム</t>
    </rPh>
    <rPh sb="2" eb="3">
      <t>チョウ</t>
    </rPh>
    <rPh sb="5" eb="7">
      <t>ホケン</t>
    </rPh>
    <rPh sb="7" eb="9">
      <t>エイセイ</t>
    </rPh>
    <rPh sb="10" eb="12">
      <t>アンゼン</t>
    </rPh>
    <rPh sb="12" eb="14">
      <t>タイサク</t>
    </rPh>
    <phoneticPr fontId="1"/>
  </si>
  <si>
    <r>
      <t xml:space="preserve">事務職員
</t>
    </r>
    <r>
      <rPr>
        <sz val="7"/>
        <color theme="1"/>
        <rFont val="游ゴシック"/>
        <family val="3"/>
        <charset val="128"/>
        <scheme val="minor"/>
      </rPr>
      <t>（保健衛生・安全対策）</t>
    </r>
    <rPh sb="0" eb="2">
      <t>ジム</t>
    </rPh>
    <rPh sb="2" eb="4">
      <t>ショクイン</t>
    </rPh>
    <rPh sb="6" eb="8">
      <t>ホケン</t>
    </rPh>
    <rPh sb="8" eb="10">
      <t>エイセイ</t>
    </rPh>
    <rPh sb="11" eb="13">
      <t>アンゼン</t>
    </rPh>
    <rPh sb="13" eb="15">
      <t>タイサク</t>
    </rPh>
    <phoneticPr fontId="1"/>
  </si>
  <si>
    <r>
      <t xml:space="preserve">職務分野別リーダー
</t>
    </r>
    <r>
      <rPr>
        <sz val="7"/>
        <color theme="1"/>
        <rFont val="游ゴシック"/>
        <family val="3"/>
        <charset val="128"/>
        <scheme val="minor"/>
      </rPr>
      <t>（食育・アレルギー対応）</t>
    </r>
    <rPh sb="0" eb="2">
      <t>ショクム</t>
    </rPh>
    <rPh sb="2" eb="4">
      <t>ブンヤ</t>
    </rPh>
    <rPh sb="4" eb="5">
      <t>ベツ</t>
    </rPh>
    <rPh sb="11" eb="13">
      <t>ショクイク</t>
    </rPh>
    <rPh sb="19" eb="21">
      <t>タイオウ</t>
    </rPh>
    <phoneticPr fontId="1"/>
  </si>
  <si>
    <t>高齢者等活躍促進加算対象者</t>
    <rPh sb="0" eb="3">
      <t>コウレイシャ</t>
    </rPh>
    <rPh sb="3" eb="4">
      <t>トウ</t>
    </rPh>
    <rPh sb="4" eb="6">
      <t>カツヤク</t>
    </rPh>
    <rPh sb="6" eb="8">
      <t>ソクシン</t>
    </rPh>
    <rPh sb="8" eb="10">
      <t>カサン</t>
    </rPh>
    <rPh sb="10" eb="12">
      <t>タイショウ</t>
    </rPh>
    <rPh sb="12" eb="13">
      <t>シャ</t>
    </rPh>
    <phoneticPr fontId="1"/>
  </si>
  <si>
    <t>A</t>
  </si>
  <si>
    <t>Y</t>
  </si>
  <si>
    <t>Z</t>
  </si>
  <si>
    <t>AA</t>
  </si>
  <si>
    <t>AB</t>
  </si>
  <si>
    <t>AC</t>
  </si>
  <si>
    <t>AD</t>
  </si>
  <si>
    <t>AE</t>
  </si>
  <si>
    <t>AF</t>
  </si>
  <si>
    <t>AG</t>
  </si>
  <si>
    <t>AH</t>
  </si>
  <si>
    <t>養護教諭2種、
子育て支援員</t>
    <rPh sb="0" eb="2">
      <t>ヨウゴ</t>
    </rPh>
    <rPh sb="2" eb="4">
      <t>キョウユ</t>
    </rPh>
    <rPh sb="5" eb="6">
      <t>シュ</t>
    </rPh>
    <rPh sb="8" eb="10">
      <t>コソダ</t>
    </rPh>
    <rPh sb="11" eb="14">
      <t>シエンイン</t>
    </rPh>
    <phoneticPr fontId="1"/>
  </si>
  <si>
    <t>なし</t>
  </si>
  <si>
    <t>あり</t>
  </si>
  <si>
    <t>記載例アフタースクール</t>
    <rPh sb="0" eb="3">
      <t>キサイレイ</t>
    </rPh>
    <phoneticPr fontId="1"/>
  </si>
  <si>
    <r>
      <t xml:space="preserve">職務分野別リーダー
</t>
    </r>
    <r>
      <rPr>
        <sz val="7"/>
        <color theme="1"/>
        <rFont val="游ゴシック"/>
        <family val="3"/>
        <charset val="128"/>
        <scheme val="minor"/>
      </rPr>
      <t>（保健衛生・安全対策）</t>
    </r>
    <rPh sb="0" eb="2">
      <t>ショクム</t>
    </rPh>
    <rPh sb="2" eb="4">
      <t>ブンヤ</t>
    </rPh>
    <rPh sb="4" eb="5">
      <t>ベツ</t>
    </rPh>
    <rPh sb="11" eb="13">
      <t>ホケン</t>
    </rPh>
    <rPh sb="13" eb="15">
      <t>エイセイ</t>
    </rPh>
    <rPh sb="16" eb="18">
      <t>アンゼン</t>
    </rPh>
    <rPh sb="18" eb="20">
      <t>タイサク</t>
    </rPh>
    <phoneticPr fontId="1"/>
  </si>
  <si>
    <t>S</t>
  </si>
  <si>
    <t>AI</t>
  </si>
  <si>
    <t>○</t>
  </si>
  <si>
    <t>看護師免許</t>
    <rPh sb="0" eb="3">
      <t>カンゴシ</t>
    </rPh>
    <rPh sb="3" eb="5">
      <t>メンキョ</t>
    </rPh>
    <phoneticPr fontId="1"/>
  </si>
  <si>
    <t>C</t>
  </si>
  <si>
    <t>D</t>
  </si>
  <si>
    <t>B</t>
  </si>
  <si>
    <t>副主幹保育教諭</t>
    <rPh sb="0" eb="3">
      <t>フクシュカン</t>
    </rPh>
    <rPh sb="3" eb="5">
      <t>ホイク</t>
    </rPh>
    <rPh sb="5" eb="7">
      <t>キョウユ</t>
    </rPh>
    <phoneticPr fontId="1"/>
  </si>
  <si>
    <t>E</t>
  </si>
  <si>
    <t>F</t>
  </si>
  <si>
    <t>専門リーダー</t>
    <rPh sb="0" eb="2">
      <t>センモン</t>
    </rPh>
    <phoneticPr fontId="1"/>
  </si>
  <si>
    <t>G</t>
  </si>
  <si>
    <t>H</t>
  </si>
  <si>
    <t>中核リーダー</t>
    <rPh sb="0" eb="2">
      <t>チュウカク</t>
    </rPh>
    <phoneticPr fontId="1"/>
  </si>
  <si>
    <t>I</t>
  </si>
  <si>
    <t>J</t>
  </si>
  <si>
    <t>K</t>
  </si>
  <si>
    <t>L</t>
  </si>
  <si>
    <t>M</t>
  </si>
  <si>
    <t>N</t>
  </si>
  <si>
    <r>
      <t xml:space="preserve">職務分野別リーダー
</t>
    </r>
    <r>
      <rPr>
        <sz val="7"/>
        <color theme="1"/>
        <rFont val="游ゴシック"/>
        <family val="3"/>
        <charset val="128"/>
        <scheme val="minor"/>
      </rPr>
      <t>（障がい児教育）</t>
    </r>
    <rPh sb="0" eb="2">
      <t>ショクム</t>
    </rPh>
    <rPh sb="2" eb="4">
      <t>ブンヤ</t>
    </rPh>
    <rPh sb="4" eb="5">
      <t>ベツ</t>
    </rPh>
    <rPh sb="11" eb="12">
      <t>ショウ</t>
    </rPh>
    <rPh sb="14" eb="15">
      <t>ジ</t>
    </rPh>
    <rPh sb="15" eb="17">
      <t>キョウイク</t>
    </rPh>
    <phoneticPr fontId="1"/>
  </si>
  <si>
    <t>O</t>
  </si>
  <si>
    <t>P</t>
  </si>
  <si>
    <t>Q</t>
  </si>
  <si>
    <t>一般保育教諭</t>
    <rPh sb="0" eb="2">
      <t>イッパン</t>
    </rPh>
    <rPh sb="2" eb="4">
      <t>ホイク</t>
    </rPh>
    <rPh sb="4" eb="6">
      <t>キョウユ</t>
    </rPh>
    <phoneticPr fontId="1"/>
  </si>
  <si>
    <t>R</t>
  </si>
  <si>
    <t>T</t>
  </si>
  <si>
    <t>子育て支援員</t>
    <rPh sb="0" eb="2">
      <t>コソダ</t>
    </rPh>
    <rPh sb="3" eb="5">
      <t>シエン</t>
    </rPh>
    <rPh sb="5" eb="6">
      <t>イン</t>
    </rPh>
    <phoneticPr fontId="1"/>
  </si>
  <si>
    <t>U</t>
  </si>
  <si>
    <t>V</t>
  </si>
  <si>
    <t>W</t>
  </si>
  <si>
    <t>X</t>
  </si>
  <si>
    <t>りんご2組</t>
    <rPh sb="4" eb="5">
      <t>クミ</t>
    </rPh>
    <phoneticPr fontId="1"/>
  </si>
  <si>
    <t>ばなな2組</t>
    <rPh sb="4" eb="5">
      <t>クミ</t>
    </rPh>
    <phoneticPr fontId="1"/>
  </si>
  <si>
    <t>ぶどう1組</t>
    <rPh sb="4" eb="5">
      <t>クミ</t>
    </rPh>
    <phoneticPr fontId="1"/>
  </si>
  <si>
    <t>ぶどう2組</t>
    <rPh sb="4" eb="5">
      <t>クミ</t>
    </rPh>
    <phoneticPr fontId="1"/>
  </si>
  <si>
    <t>ばなな1組</t>
    <rPh sb="4" eb="5">
      <t>クミ</t>
    </rPh>
    <phoneticPr fontId="1"/>
  </si>
  <si>
    <t>りんご1組</t>
    <rPh sb="4" eb="5">
      <t>クミ</t>
    </rPh>
    <phoneticPr fontId="1"/>
  </si>
  <si>
    <t>記載例アフタースクール</t>
    <rPh sb="0" eb="2">
      <t>キサイ</t>
    </rPh>
    <rPh sb="2" eb="3">
      <t>レイ</t>
    </rPh>
    <phoneticPr fontId="1"/>
  </si>
  <si>
    <t>~210</t>
  </si>
  <si>
    <t>Ⅰ～Ⅱ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</si>
</sst>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411]ggge&quot;年&quot;m&quot;月&quot;d&quot;日&quot;;@"/>
    <numFmt numFmtId="177" formatCode="[$-411]ggge&quot;年&quot;m&quot;月&quot;"/>
    <numFmt numFmtId="178" formatCode="0.0"/>
    <numFmt numFmtId="179" formatCode="0.0_ "/>
    <numFmt numFmtId="180" formatCode="&quot;Ver &quot;0.00"/>
    <numFmt numFmtId="181" formatCode="0.00_ "/>
    <numFmt numFmtId="182" formatCode="0&quot;人&quot;"/>
    <numFmt numFmtId="183" formatCode="0.0&quot;人&quot;"/>
  </numFmts>
  <fonts count="45">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14"/>
      <color theme="1"/>
      <name val="游ゴシック"/>
      <family val="2"/>
      <charset val="128"/>
      <scheme val="minor"/>
    </font>
    <font>
      <sz val="14"/>
      <color theme="1"/>
      <name val="游ゴシック"/>
      <family val="3"/>
      <charset val="128"/>
      <scheme val="minor"/>
    </font>
    <font>
      <sz val="9"/>
      <color theme="1"/>
      <name val="游ゴシック"/>
      <family val="3"/>
      <charset val="128"/>
      <scheme val="minor"/>
    </font>
    <font>
      <sz val="8"/>
      <color theme="1"/>
      <name val="游ゴシック"/>
      <family val="2"/>
      <charset val="128"/>
      <scheme val="minor"/>
    </font>
    <font>
      <sz val="8"/>
      <color theme="1"/>
      <name val="游ゴシック"/>
      <family val="3"/>
      <charset val="128"/>
      <scheme val="minor"/>
    </font>
    <font>
      <b/>
      <sz val="8"/>
      <color indexed="81"/>
      <name val="MS P ゴシック"/>
      <family val="3"/>
      <charset val="128"/>
    </font>
    <font>
      <sz val="11"/>
      <color theme="1"/>
      <name val="游ゴシック"/>
      <family val="2"/>
      <charset val="128"/>
      <scheme val="minor"/>
    </font>
    <font>
      <sz val="11"/>
      <color rgb="FFFF0000"/>
      <name val="游ゴシック"/>
      <family val="2"/>
      <charset val="128"/>
      <scheme val="minor"/>
    </font>
    <font>
      <sz val="11"/>
      <color rgb="FFFF0000"/>
      <name val="游ゴシック"/>
      <family val="3"/>
      <charset val="128"/>
      <scheme val="minor"/>
    </font>
    <font>
      <sz val="9"/>
      <name val="游ゴシック"/>
      <family val="2"/>
      <charset val="128"/>
      <scheme val="minor"/>
    </font>
    <font>
      <sz val="6"/>
      <color theme="1"/>
      <name val="游ゴシック"/>
      <family val="3"/>
      <charset val="128"/>
      <scheme val="minor"/>
    </font>
    <font>
      <sz val="7"/>
      <color theme="1"/>
      <name val="游ゴシック"/>
      <family val="3"/>
      <charset val="128"/>
      <scheme val="minor"/>
    </font>
    <font>
      <b/>
      <sz val="9"/>
      <color theme="1"/>
      <name val="游ゴシック"/>
      <family val="3"/>
      <charset val="128"/>
      <scheme val="minor"/>
    </font>
    <font>
      <b/>
      <sz val="9"/>
      <color rgb="FFFF0000"/>
      <name val="游ゴシック"/>
      <family val="3"/>
      <charset val="128"/>
      <scheme val="minor"/>
    </font>
    <font>
      <b/>
      <sz val="9"/>
      <color indexed="81"/>
      <name val="MS P ゴシック"/>
      <family val="3"/>
      <charset val="128"/>
    </font>
    <font>
      <sz val="6"/>
      <color theme="1"/>
      <name val="游ゴシック"/>
      <family val="2"/>
      <charset val="128"/>
      <scheme val="minor"/>
    </font>
    <font>
      <sz val="10"/>
      <color theme="1"/>
      <name val="游ゴシック"/>
      <family val="3"/>
      <charset val="128"/>
      <scheme val="minor"/>
    </font>
    <font>
      <sz val="10"/>
      <color theme="1"/>
      <name val="游ゴシック"/>
      <family val="2"/>
      <charset val="128"/>
      <scheme val="minor"/>
    </font>
    <font>
      <sz val="9"/>
      <color indexed="81"/>
      <name val="MS P ゴシック"/>
      <family val="3"/>
      <charset val="128"/>
    </font>
    <font>
      <sz val="8"/>
      <color indexed="81"/>
      <name val="MS P ゴシック"/>
      <family val="3"/>
      <charset val="128"/>
    </font>
    <font>
      <sz val="11"/>
      <color theme="1"/>
      <name val="游ゴシック"/>
      <family val="3"/>
      <charset val="128"/>
      <scheme val="minor"/>
    </font>
    <font>
      <sz val="6"/>
      <color rgb="FFFF0000"/>
      <name val="游ゴシック"/>
      <family val="2"/>
      <charset val="128"/>
      <scheme val="minor"/>
    </font>
    <font>
      <sz val="18"/>
      <color theme="1"/>
      <name val="游ゴシック"/>
      <family val="2"/>
      <charset val="128"/>
      <scheme val="minor"/>
    </font>
    <font>
      <sz val="18"/>
      <color theme="1"/>
      <name val="游ゴシック"/>
      <family val="3"/>
      <charset val="128"/>
      <scheme val="minor"/>
    </font>
    <font>
      <sz val="8"/>
      <color rgb="FFFF0000"/>
      <name val="游ゴシック"/>
      <family val="2"/>
      <charset val="128"/>
      <scheme val="minor"/>
    </font>
    <font>
      <sz val="8"/>
      <color theme="0" tint="-0.499984740745262"/>
      <name val="游ゴシック"/>
      <family val="2"/>
      <charset val="128"/>
      <scheme val="minor"/>
    </font>
    <font>
      <b/>
      <sz val="8"/>
      <color rgb="FFFF0000"/>
      <name val="游ゴシック"/>
      <family val="3"/>
      <charset val="128"/>
      <scheme val="minor"/>
    </font>
    <font>
      <b/>
      <sz val="8"/>
      <color theme="1"/>
      <name val="游ゴシック"/>
      <family val="3"/>
      <charset val="128"/>
      <scheme val="minor"/>
    </font>
    <font>
      <sz val="7"/>
      <color theme="1"/>
      <name val="游ゴシック"/>
      <family val="2"/>
      <charset val="128"/>
      <scheme val="minor"/>
    </font>
    <font>
      <b/>
      <sz val="8"/>
      <color indexed="17"/>
      <name val="MS P ゴシック"/>
      <family val="3"/>
      <charset val="128"/>
    </font>
    <font>
      <b/>
      <sz val="11"/>
      <color indexed="17"/>
      <name val="MS P ゴシック"/>
      <family val="3"/>
      <charset val="128"/>
    </font>
    <font>
      <b/>
      <sz val="9"/>
      <color indexed="17"/>
      <name val="MS P ゴシック"/>
      <family val="3"/>
      <charset val="128"/>
    </font>
    <font>
      <sz val="16"/>
      <color rgb="FFFF0000"/>
      <name val="游ゴシック"/>
      <family val="2"/>
      <charset val="128"/>
      <scheme val="minor"/>
    </font>
    <font>
      <sz val="11"/>
      <color theme="1"/>
      <name val="Century"/>
      <family val="1"/>
    </font>
    <font>
      <sz val="6"/>
      <color theme="1"/>
      <name val="Century"/>
      <family val="1"/>
    </font>
    <font>
      <sz val="9"/>
      <color rgb="FFFF0000"/>
      <name val="游ゴシック"/>
      <family val="2"/>
      <charset val="128"/>
      <scheme val="minor"/>
    </font>
    <font>
      <sz val="4"/>
      <color theme="1"/>
      <name val="游ゴシック"/>
      <family val="2"/>
      <charset val="128"/>
      <scheme val="minor"/>
    </font>
    <font>
      <b/>
      <sz val="11"/>
      <color theme="1"/>
      <name val="游ゴシック"/>
      <family val="3"/>
      <charset val="128"/>
      <scheme val="minor"/>
    </font>
    <font>
      <sz val="12"/>
      <color theme="1"/>
      <name val="游ゴシック"/>
      <family val="3"/>
      <charset val="128"/>
      <scheme val="minor"/>
    </font>
    <font>
      <sz val="16"/>
      <color theme="1"/>
      <name val="游ゴシック"/>
      <family val="2"/>
      <charset val="128"/>
      <scheme val="minor"/>
    </font>
    <font>
      <sz val="16"/>
      <color theme="1"/>
      <name val="游ゴシック"/>
      <family val="3"/>
      <charset val="128"/>
      <scheme val="minor"/>
    </font>
    <font>
      <i/>
      <sz val="9"/>
      <color indexed="81"/>
      <name val="MS P ゴシック"/>
      <family val="3"/>
      <charset val="128"/>
    </font>
  </fonts>
  <fills count="10">
    <fill>
      <patternFill patternType="none"/>
    </fill>
    <fill>
      <patternFill patternType="gray125"/>
    </fill>
    <fill>
      <patternFill patternType="solid">
        <fgColor theme="0" tint="-0.49998474074526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FFFF99"/>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0" tint="-0.14999847407452621"/>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medium">
        <color indexed="64"/>
      </right>
      <top/>
      <bottom/>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dotted">
        <color indexed="64"/>
      </top>
      <bottom style="dotted">
        <color indexed="64"/>
      </bottom>
      <diagonal/>
    </border>
    <border>
      <left/>
      <right/>
      <top style="dotted">
        <color indexed="64"/>
      </top>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2">
    <xf numFmtId="0" fontId="0" fillId="0" borderId="0">
      <alignment vertical="center"/>
    </xf>
    <xf numFmtId="9" fontId="9" fillId="0" borderId="0" applyFont="0" applyFill="0" applyBorder="0" applyAlignment="0" applyProtection="0">
      <alignment vertical="center"/>
    </xf>
  </cellStyleXfs>
  <cellXfs count="407">
    <xf numFmtId="0" fontId="0" fillId="0" borderId="0" xfId="0">
      <alignment vertical="center"/>
    </xf>
    <xf numFmtId="0" fontId="0" fillId="4" borderId="1" xfId="0" applyFill="1"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2" fillId="0" borderId="0" xfId="0" applyFont="1">
      <alignment vertical="center"/>
    </xf>
    <xf numFmtId="0" fontId="2" fillId="4" borderId="1" xfId="0" applyFont="1" applyFill="1" applyBorder="1" applyAlignment="1">
      <alignment horizontal="center" vertical="center"/>
    </xf>
    <xf numFmtId="0" fontId="5" fillId="0" borderId="0" xfId="0" applyFont="1">
      <alignment vertical="center"/>
    </xf>
    <xf numFmtId="0" fontId="3" fillId="0" borderId="0" xfId="0" applyFont="1" applyAlignment="1">
      <alignment vertical="center"/>
    </xf>
    <xf numFmtId="0" fontId="4" fillId="0" borderId="0" xfId="0" applyFont="1" applyAlignment="1">
      <alignment vertical="center"/>
    </xf>
    <xf numFmtId="0" fontId="2" fillId="0" borderId="0" xfId="0" applyFont="1" applyAlignment="1">
      <alignment horizontal="right" vertical="center"/>
    </xf>
    <xf numFmtId="0" fontId="2" fillId="0" borderId="0" xfId="0" applyFont="1" applyBorder="1" applyAlignment="1">
      <alignment horizontal="center" vertical="center"/>
    </xf>
    <xf numFmtId="0" fontId="5" fillId="3" borderId="1" xfId="0" applyFont="1" applyFill="1" applyBorder="1" applyAlignment="1">
      <alignment horizontal="center" vertical="center"/>
    </xf>
    <xf numFmtId="0" fontId="0" fillId="5" borderId="1" xfId="0" applyFill="1" applyBorder="1">
      <alignment vertical="center"/>
    </xf>
    <xf numFmtId="0" fontId="0" fillId="5" borderId="6" xfId="0" applyFill="1" applyBorder="1">
      <alignment vertical="center"/>
    </xf>
    <xf numFmtId="0" fontId="0" fillId="5" borderId="3" xfId="0" applyFill="1" applyBorder="1">
      <alignment vertical="center"/>
    </xf>
    <xf numFmtId="0" fontId="2" fillId="5" borderId="1" xfId="0" applyFont="1" applyFill="1" applyBorder="1" applyAlignment="1">
      <alignment horizontal="center" vertical="center"/>
    </xf>
    <xf numFmtId="57" fontId="5" fillId="5" borderId="1" xfId="0" applyNumberFormat="1" applyFont="1" applyFill="1" applyBorder="1" applyAlignment="1">
      <alignment horizontal="center" vertical="center"/>
    </xf>
    <xf numFmtId="0" fontId="5" fillId="5" borderId="1" xfId="0" applyFont="1" applyFill="1" applyBorder="1">
      <alignment vertical="center"/>
    </xf>
    <xf numFmtId="57" fontId="0" fillId="5" borderId="1" xfId="0" applyNumberFormat="1" applyFill="1" applyBorder="1" applyAlignment="1">
      <alignment horizontal="center" vertical="center"/>
    </xf>
    <xf numFmtId="0" fontId="0" fillId="5" borderId="2" xfId="0" applyFill="1" applyBorder="1" applyAlignment="1">
      <alignment horizontal="center" vertical="center"/>
    </xf>
    <xf numFmtId="0" fontId="0" fillId="3" borderId="2" xfId="0" applyFill="1" applyBorder="1" applyAlignment="1">
      <alignment horizontal="center" vertical="center"/>
    </xf>
    <xf numFmtId="0" fontId="6" fillId="0" borderId="0" xfId="0" applyFont="1" applyAlignment="1">
      <alignment horizontal="right" vertical="center"/>
    </xf>
    <xf numFmtId="56" fontId="6" fillId="0" borderId="0" xfId="0" applyNumberFormat="1" applyFont="1" applyAlignment="1">
      <alignment horizontal="right" vertical="center"/>
    </xf>
    <xf numFmtId="0" fontId="0" fillId="4" borderId="3" xfId="0" applyFill="1" applyBorder="1" applyAlignment="1">
      <alignment horizontal="center" vertical="center"/>
    </xf>
    <xf numFmtId="0" fontId="0" fillId="4" borderId="4" xfId="0" applyFill="1" applyBorder="1" applyAlignment="1">
      <alignment horizontal="center" vertical="center"/>
    </xf>
    <xf numFmtId="0" fontId="0" fillId="4" borderId="6" xfId="0" applyFill="1" applyBorder="1" applyAlignment="1">
      <alignment horizontal="center" vertical="center"/>
    </xf>
    <xf numFmtId="0" fontId="0" fillId="4" borderId="9" xfId="0" applyFill="1" applyBorder="1" applyAlignment="1">
      <alignment horizontal="center" vertical="center"/>
    </xf>
    <xf numFmtId="0" fontId="0" fillId="0" borderId="0" xfId="0" applyAlignment="1">
      <alignment vertical="center"/>
    </xf>
    <xf numFmtId="0" fontId="0" fillId="0" borderId="0" xfId="0" applyBorder="1">
      <alignment vertical="center"/>
    </xf>
    <xf numFmtId="0" fontId="0" fillId="0" borderId="0" xfId="0" applyAlignment="1">
      <alignment vertical="center" shrinkToFit="1"/>
    </xf>
    <xf numFmtId="0" fontId="10" fillId="0" borderId="1"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1" xfId="0" applyFont="1" applyFill="1" applyBorder="1">
      <alignment vertical="center"/>
    </xf>
    <xf numFmtId="0" fontId="11" fillId="0" borderId="10" xfId="0" applyFont="1" applyFill="1" applyBorder="1">
      <alignment vertical="center"/>
    </xf>
    <xf numFmtId="0" fontId="11" fillId="0" borderId="3" xfId="0" applyFont="1" applyFill="1" applyBorder="1" applyAlignment="1">
      <alignment horizontal="center" vertical="center"/>
    </xf>
    <xf numFmtId="0" fontId="11" fillId="0" borderId="3" xfId="0" applyFont="1" applyFill="1" applyBorder="1">
      <alignment vertical="center"/>
    </xf>
    <xf numFmtId="0" fontId="11" fillId="0" borderId="7" xfId="0" applyFont="1" applyFill="1" applyBorder="1">
      <alignment vertical="center"/>
    </xf>
    <xf numFmtId="0" fontId="11" fillId="0" borderId="11" xfId="0" applyFont="1" applyFill="1" applyBorder="1">
      <alignment vertical="center"/>
    </xf>
    <xf numFmtId="0" fontId="11" fillId="0" borderId="4" xfId="0" applyFont="1" applyFill="1" applyBorder="1" applyAlignment="1">
      <alignment horizontal="center" vertical="center"/>
    </xf>
    <xf numFmtId="0" fontId="11" fillId="0" borderId="5" xfId="0" applyFont="1" applyFill="1" applyBorder="1">
      <alignment vertical="center"/>
    </xf>
    <xf numFmtId="0" fontId="11" fillId="0" borderId="8" xfId="0" applyFont="1" applyFill="1" applyBorder="1">
      <alignment vertical="center"/>
    </xf>
    <xf numFmtId="0" fontId="11" fillId="0" borderId="2" xfId="0" applyFont="1" applyFill="1" applyBorder="1">
      <alignment vertical="center"/>
    </xf>
    <xf numFmtId="0" fontId="2" fillId="0" borderId="0" xfId="0" applyFont="1" applyAlignment="1">
      <alignment horizontal="left" vertical="center"/>
    </xf>
    <xf numFmtId="0" fontId="2" fillId="0" borderId="1" xfId="0" applyFont="1" applyBorder="1" applyAlignment="1">
      <alignment horizontal="center"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0" fillId="5" borderId="13" xfId="0" applyFill="1" applyBorder="1" applyAlignment="1">
      <alignment horizontal="center" vertical="center"/>
    </xf>
    <xf numFmtId="0" fontId="0" fillId="0" borderId="0" xfId="0" applyAlignment="1">
      <alignment horizontal="center" vertical="center"/>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0" borderId="1" xfId="0" applyBorder="1">
      <alignment vertical="center"/>
    </xf>
    <xf numFmtId="0" fontId="13" fillId="4" borderId="1" xfId="0" applyFont="1" applyFill="1" applyBorder="1" applyAlignment="1">
      <alignment horizontal="center" vertical="center" wrapText="1" shrinkToFit="1"/>
    </xf>
    <xf numFmtId="0" fontId="7" fillId="5" borderId="1" xfId="0" applyFont="1" applyFill="1" applyBorder="1" applyAlignment="1">
      <alignment horizontal="center" vertical="center" shrinkToFit="1"/>
    </xf>
    <xf numFmtId="0" fontId="7" fillId="5" borderId="1" xfId="0" applyFont="1" applyFill="1" applyBorder="1" applyAlignment="1">
      <alignment horizontal="center" vertical="center"/>
    </xf>
    <xf numFmtId="0" fontId="7" fillId="5" borderId="3" xfId="0" applyFont="1" applyFill="1" applyBorder="1" applyAlignment="1">
      <alignment horizontal="center" vertical="center" shrinkToFit="1"/>
    </xf>
    <xf numFmtId="0" fontId="7" fillId="5" borderId="6" xfId="0" applyFont="1" applyFill="1" applyBorder="1" applyAlignment="1">
      <alignment horizontal="center" vertical="center" shrinkToFit="1"/>
    </xf>
    <xf numFmtId="0" fontId="7" fillId="6" borderId="2" xfId="0" applyFont="1" applyFill="1" applyBorder="1" applyAlignment="1">
      <alignment horizontal="center" vertical="center" shrinkToFit="1"/>
    </xf>
    <xf numFmtId="0" fontId="7" fillId="6" borderId="18" xfId="0" applyFont="1" applyFill="1" applyBorder="1" applyAlignment="1">
      <alignment horizontal="center" vertical="center" shrinkToFit="1"/>
    </xf>
    <xf numFmtId="0" fontId="7" fillId="6" borderId="1" xfId="0" applyFont="1" applyFill="1" applyBorder="1" applyAlignment="1">
      <alignment horizontal="center" vertical="center" shrinkToFit="1"/>
    </xf>
    <xf numFmtId="0" fontId="7" fillId="5" borderId="3" xfId="0" applyFont="1" applyFill="1" applyBorder="1" applyAlignment="1">
      <alignment horizontal="center" vertical="center"/>
    </xf>
    <xf numFmtId="0" fontId="7" fillId="3" borderId="2" xfId="0" applyFont="1" applyFill="1" applyBorder="1" applyAlignment="1">
      <alignment horizontal="center" vertical="center"/>
    </xf>
    <xf numFmtId="0" fontId="7" fillId="5" borderId="18" xfId="0" applyFont="1" applyFill="1" applyBorder="1" applyAlignment="1">
      <alignment horizontal="center" vertical="center"/>
    </xf>
    <xf numFmtId="0" fontId="7" fillId="4" borderId="21" xfId="0" applyFont="1" applyFill="1" applyBorder="1" applyAlignment="1">
      <alignment horizontal="center" vertical="center" shrinkToFit="1"/>
    </xf>
    <xf numFmtId="0" fontId="7" fillId="5" borderId="6" xfId="0" applyFont="1" applyFill="1" applyBorder="1" applyAlignment="1">
      <alignment horizontal="center" vertical="center" wrapText="1" shrinkToFit="1"/>
    </xf>
    <xf numFmtId="0" fontId="7" fillId="6" borderId="1" xfId="0" applyFont="1" applyFill="1" applyBorder="1" applyAlignment="1">
      <alignment horizontal="center" vertical="center" wrapText="1" shrinkToFit="1"/>
    </xf>
    <xf numFmtId="0" fontId="0" fillId="4" borderId="18" xfId="0" applyFill="1" applyBorder="1" applyAlignment="1">
      <alignment horizontal="center" vertical="center"/>
    </xf>
    <xf numFmtId="0" fontId="0" fillId="4" borderId="18" xfId="0" applyFill="1" applyBorder="1" applyAlignment="1">
      <alignment horizontal="center" vertical="center" shrinkToFit="1"/>
    </xf>
    <xf numFmtId="0" fontId="0" fillId="0" borderId="0" xfId="0" applyFill="1" applyBorder="1" applyAlignment="1">
      <alignment horizontal="center" vertical="center"/>
    </xf>
    <xf numFmtId="0" fontId="6" fillId="6" borderId="6" xfId="0" applyFont="1" applyFill="1" applyBorder="1" applyAlignment="1">
      <alignment horizontal="center" vertical="center" shrinkToFit="1"/>
    </xf>
    <xf numFmtId="0" fontId="6" fillId="6" borderId="1" xfId="0" applyFont="1" applyFill="1" applyBorder="1" applyAlignment="1">
      <alignment horizontal="center" vertical="center" shrinkToFit="1"/>
    </xf>
    <xf numFmtId="0" fontId="6" fillId="0" borderId="1" xfId="0" applyFont="1" applyBorder="1">
      <alignment vertical="center"/>
    </xf>
    <xf numFmtId="0" fontId="7" fillId="0" borderId="1" xfId="0" applyFont="1" applyBorder="1">
      <alignment vertical="center"/>
    </xf>
    <xf numFmtId="0" fontId="0" fillId="0" borderId="18" xfId="0" applyBorder="1">
      <alignment vertical="center"/>
    </xf>
    <xf numFmtId="0" fontId="2" fillId="0" borderId="0" xfId="0" applyFont="1" applyAlignment="1">
      <alignment horizontal="center" vertical="center"/>
    </xf>
    <xf numFmtId="10" fontId="12" fillId="0" borderId="2" xfId="1" applyNumberFormat="1" applyFont="1" applyFill="1" applyBorder="1" applyAlignment="1">
      <alignment horizontal="center" vertical="center"/>
    </xf>
    <xf numFmtId="0" fontId="5" fillId="6" borderId="1" xfId="0" applyFont="1" applyFill="1" applyBorder="1" applyAlignment="1">
      <alignment horizontal="center" vertical="center"/>
    </xf>
    <xf numFmtId="178" fontId="5" fillId="3" borderId="1" xfId="0" applyNumberFormat="1" applyFont="1" applyFill="1" applyBorder="1" applyAlignment="1">
      <alignment horizontal="center" vertical="center"/>
    </xf>
    <xf numFmtId="0" fontId="5" fillId="0" borderId="0" xfId="0" applyFont="1" applyAlignment="1">
      <alignment horizontal="right" vertical="center"/>
    </xf>
    <xf numFmtId="0" fontId="5" fillId="0" borderId="0" xfId="0" applyFont="1" applyFill="1" applyBorder="1" applyAlignment="1">
      <alignment horizontal="center" vertical="center"/>
    </xf>
    <xf numFmtId="0" fontId="5" fillId="0" borderId="0" xfId="0" applyFont="1" applyFill="1" applyBorder="1" applyAlignment="1">
      <alignment horizontal="right" vertical="center"/>
    </xf>
    <xf numFmtId="178" fontId="5" fillId="3" borderId="3" xfId="0" applyNumberFormat="1" applyFont="1" applyFill="1" applyBorder="1" applyAlignment="1">
      <alignment horizontal="center" vertical="center"/>
    </xf>
    <xf numFmtId="0" fontId="5" fillId="0" borderId="0" xfId="0" applyFont="1" applyBorder="1">
      <alignment vertical="center"/>
    </xf>
    <xf numFmtId="178" fontId="15" fillId="3" borderId="2" xfId="0" applyNumberFormat="1" applyFont="1" applyFill="1" applyBorder="1" applyAlignment="1">
      <alignment horizontal="center" vertical="center"/>
    </xf>
    <xf numFmtId="179" fontId="15" fillId="6" borderId="2" xfId="0" applyNumberFormat="1" applyFont="1" applyFill="1" applyBorder="1" applyAlignment="1">
      <alignment horizontal="center" vertical="center"/>
    </xf>
    <xf numFmtId="0" fontId="16" fillId="0" borderId="0" xfId="0" applyFont="1" applyAlignment="1">
      <alignment horizontal="center" vertical="center"/>
    </xf>
    <xf numFmtId="177" fontId="0" fillId="3" borderId="0" xfId="0" applyNumberFormat="1" applyFill="1" applyBorder="1" applyAlignment="1">
      <alignment horizontal="center" vertical="center"/>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6" borderId="2" xfId="0" applyFill="1" applyBorder="1" applyAlignment="1">
      <alignment horizontal="center" vertical="center"/>
    </xf>
    <xf numFmtId="0" fontId="0" fillId="5" borderId="13" xfId="0" applyFill="1" applyBorder="1" applyAlignment="1">
      <alignment horizontal="center" vertical="center"/>
    </xf>
    <xf numFmtId="0" fontId="0" fillId="4" borderId="18" xfId="0" applyFill="1" applyBorder="1" applyAlignment="1">
      <alignment horizontal="center" vertical="center" shrinkToFit="1"/>
    </xf>
    <xf numFmtId="0" fontId="2" fillId="0" borderId="0" xfId="0" applyFont="1" applyBorder="1">
      <alignment vertical="center"/>
    </xf>
    <xf numFmtId="0" fontId="5" fillId="0" borderId="0" xfId="0" applyFont="1" applyBorder="1" applyAlignment="1">
      <alignment horizontal="right" vertical="center"/>
    </xf>
    <xf numFmtId="0" fontId="5" fillId="0" borderId="0" xfId="0" applyFont="1" applyFill="1" applyBorder="1">
      <alignment vertical="center"/>
    </xf>
    <xf numFmtId="0" fontId="5" fillId="0" borderId="0" xfId="0" applyFont="1" applyBorder="1" applyAlignment="1">
      <alignment horizontal="left" vertical="center"/>
    </xf>
    <xf numFmtId="0" fontId="2" fillId="0" borderId="22" xfId="0" applyFont="1" applyBorder="1">
      <alignment vertical="center"/>
    </xf>
    <xf numFmtId="0" fontId="2" fillId="0" borderId="32" xfId="0" applyFont="1" applyBorder="1">
      <alignment vertical="center"/>
    </xf>
    <xf numFmtId="0" fontId="2" fillId="0" borderId="33" xfId="0" applyFont="1" applyBorder="1">
      <alignment vertical="center"/>
    </xf>
    <xf numFmtId="0" fontId="2" fillId="0" borderId="34" xfId="0" applyFont="1" applyBorder="1" applyAlignment="1">
      <alignment horizontal="center" vertical="center"/>
    </xf>
    <xf numFmtId="0" fontId="5" fillId="0" borderId="34" xfId="0" applyFont="1" applyBorder="1" applyAlignment="1">
      <alignment horizontal="right" vertical="center"/>
    </xf>
    <xf numFmtId="0" fontId="5" fillId="0" borderId="34" xfId="0" applyFont="1" applyFill="1" applyBorder="1">
      <alignment vertical="center"/>
    </xf>
    <xf numFmtId="0" fontId="5" fillId="0" borderId="34" xfId="0" applyFont="1" applyFill="1" applyBorder="1" applyAlignment="1">
      <alignment horizontal="center" vertical="center"/>
    </xf>
    <xf numFmtId="0" fontId="5" fillId="0" borderId="34" xfId="0" applyFont="1" applyFill="1" applyBorder="1" applyAlignment="1">
      <alignment horizontal="right" vertical="center"/>
    </xf>
    <xf numFmtId="0" fontId="2" fillId="0" borderId="35" xfId="0" applyFont="1" applyBorder="1">
      <alignment vertical="center"/>
    </xf>
    <xf numFmtId="0" fontId="2" fillId="0" borderId="34" xfId="0" applyFont="1" applyBorder="1">
      <alignment vertical="center"/>
    </xf>
    <xf numFmtId="0" fontId="14" fillId="6" borderId="1" xfId="0" applyFont="1" applyFill="1" applyBorder="1" applyAlignment="1">
      <alignment horizontal="center" vertical="center" wrapText="1" shrinkToFit="1"/>
    </xf>
    <xf numFmtId="0" fontId="0" fillId="2" borderId="21" xfId="0" applyFill="1" applyBorder="1">
      <alignment vertical="center"/>
    </xf>
    <xf numFmtId="0" fontId="0" fillId="2" borderId="36" xfId="0" applyFill="1" applyBorder="1">
      <alignment vertical="center"/>
    </xf>
    <xf numFmtId="0" fontId="0" fillId="2" borderId="37" xfId="0" applyFill="1" applyBorder="1">
      <alignment vertical="center"/>
    </xf>
    <xf numFmtId="0" fontId="2" fillId="0" borderId="17" xfId="0" applyFont="1" applyFill="1" applyBorder="1" applyAlignment="1">
      <alignment horizontal="center" vertical="center"/>
    </xf>
    <xf numFmtId="0" fontId="7" fillId="0" borderId="17" xfId="0" applyFont="1" applyFill="1" applyBorder="1" applyAlignment="1">
      <alignment vertical="center" wrapText="1"/>
    </xf>
    <xf numFmtId="0" fontId="7" fillId="0" borderId="19" xfId="0" applyFont="1" applyFill="1" applyBorder="1" applyAlignment="1">
      <alignment vertical="center" wrapText="1"/>
    </xf>
    <xf numFmtId="0" fontId="7" fillId="0" borderId="17" xfId="0" applyFont="1" applyFill="1" applyBorder="1" applyAlignment="1">
      <alignment vertical="center" shrinkToFit="1"/>
    </xf>
    <xf numFmtId="0" fontId="0" fillId="0" borderId="0" xfId="0" applyFill="1" applyBorder="1">
      <alignment vertical="center"/>
    </xf>
    <xf numFmtId="0" fontId="18" fillId="4" borderId="1" xfId="0" applyFont="1" applyFill="1" applyBorder="1" applyAlignment="1">
      <alignment horizontal="center" vertical="center" wrapText="1"/>
    </xf>
    <xf numFmtId="0" fontId="19" fillId="0" borderId="0" xfId="0" applyFont="1" applyFill="1" applyBorder="1" applyAlignment="1">
      <alignment horizontal="center" vertical="center" shrinkToFit="1"/>
    </xf>
    <xf numFmtId="0" fontId="20" fillId="5" borderId="13" xfId="0" applyFont="1" applyFill="1" applyBorder="1" applyAlignment="1">
      <alignment horizontal="center" vertical="center"/>
    </xf>
    <xf numFmtId="0" fontId="5" fillId="4" borderId="1" xfId="0" applyFont="1" applyFill="1" applyBorder="1" applyAlignment="1">
      <alignment horizontal="center" vertical="center"/>
    </xf>
    <xf numFmtId="0" fontId="18" fillId="0" borderId="0" xfId="0" applyFont="1" applyAlignment="1">
      <alignment horizontal="right" vertical="center"/>
    </xf>
    <xf numFmtId="0" fontId="2" fillId="3" borderId="1" xfId="0" applyFont="1" applyFill="1" applyBorder="1" applyAlignment="1">
      <alignment horizontal="center" vertical="center"/>
    </xf>
    <xf numFmtId="178" fontId="15" fillId="0" borderId="22" xfId="0" applyNumberFormat="1" applyFont="1" applyFill="1" applyBorder="1" applyAlignment="1">
      <alignment horizontal="center" vertical="center"/>
    </xf>
    <xf numFmtId="0" fontId="13" fillId="0" borderId="29" xfId="0" applyFont="1" applyBorder="1" applyAlignment="1">
      <alignment vertical="top" wrapText="1"/>
    </xf>
    <xf numFmtId="0" fontId="5" fillId="0" borderId="0" xfId="0" applyFont="1" applyBorder="1" applyAlignment="1">
      <alignment vertical="center" shrinkToFit="1"/>
    </xf>
    <xf numFmtId="0" fontId="7" fillId="3" borderId="1" xfId="0" applyFont="1" applyFill="1" applyBorder="1" applyAlignment="1">
      <alignment horizontal="center" vertical="center" shrinkToFit="1"/>
    </xf>
    <xf numFmtId="0" fontId="0" fillId="0" borderId="0" xfId="0" applyFill="1" applyBorder="1" applyAlignment="1">
      <alignment vertical="center"/>
    </xf>
    <xf numFmtId="0" fontId="5" fillId="0" borderId="0" xfId="0" applyFont="1" applyFill="1" applyBorder="1" applyAlignment="1">
      <alignment vertical="center"/>
    </xf>
    <xf numFmtId="0" fontId="0" fillId="0" borderId="0" xfId="0" applyAlignment="1">
      <alignment horizontal="center" vertical="center"/>
    </xf>
    <xf numFmtId="0" fontId="0" fillId="0" borderId="0" xfId="0" applyAlignment="1">
      <alignment horizontal="center" vertical="top"/>
    </xf>
    <xf numFmtId="0" fontId="0" fillId="0" borderId="0" xfId="0" applyAlignment="1">
      <alignment horizontal="right" vertical="center"/>
    </xf>
    <xf numFmtId="0" fontId="27" fillId="0" borderId="0" xfId="0" applyFont="1" applyAlignment="1">
      <alignment horizontal="right" vertical="center"/>
    </xf>
    <xf numFmtId="0" fontId="2" fillId="0" borderId="0" xfId="0" applyFont="1" applyFill="1" applyBorder="1" applyAlignment="1">
      <alignment horizontal="center" vertical="center"/>
    </xf>
    <xf numFmtId="0" fontId="10" fillId="0" borderId="1" xfId="0" applyFont="1" applyBorder="1" applyAlignment="1">
      <alignment horizontal="center" vertical="center"/>
    </xf>
    <xf numFmtId="0" fontId="10" fillId="0" borderId="0" xfId="0" applyFont="1" applyBorder="1" applyAlignment="1">
      <alignment horizontal="center" vertical="center"/>
    </xf>
    <xf numFmtId="0" fontId="10" fillId="0" borderId="2" xfId="0" applyFont="1" applyBorder="1" applyAlignment="1">
      <alignment horizontal="center" vertical="center"/>
    </xf>
    <xf numFmtId="0" fontId="28" fillId="0" borderId="0" xfId="0" applyFont="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5" fillId="2" borderId="1" xfId="0" applyFont="1" applyFill="1" applyBorder="1" applyAlignment="1">
      <alignment horizontal="center" vertical="center"/>
    </xf>
    <xf numFmtId="0" fontId="29" fillId="8" borderId="0" xfId="0" applyFont="1" applyFill="1" applyAlignment="1">
      <alignment horizontal="center" vertical="center" shrinkToFit="1"/>
    </xf>
    <xf numFmtId="14" fontId="0" fillId="0" borderId="1" xfId="0" applyNumberFormat="1" applyBorder="1">
      <alignment vertical="center"/>
    </xf>
    <xf numFmtId="0" fontId="0" fillId="0" borderId="1" xfId="0" applyBorder="1" applyAlignment="1">
      <alignment horizontal="center" vertical="center"/>
    </xf>
    <xf numFmtId="0" fontId="31" fillId="5" borderId="2" xfId="0" applyFont="1" applyFill="1" applyBorder="1" applyAlignment="1">
      <alignment horizontal="center" vertical="center"/>
    </xf>
    <xf numFmtId="0" fontId="31" fillId="0" borderId="1" xfId="0" applyFont="1" applyBorder="1" applyAlignment="1">
      <alignment horizontal="center" vertical="center"/>
    </xf>
    <xf numFmtId="0" fontId="6" fillId="0" borderId="0" xfId="0" applyFont="1" applyAlignment="1">
      <alignment vertical="center"/>
    </xf>
    <xf numFmtId="0" fontId="0" fillId="4" borderId="16" xfId="0" applyFill="1" applyBorder="1" applyAlignment="1">
      <alignment horizontal="center" vertical="center"/>
    </xf>
    <xf numFmtId="0" fontId="0" fillId="4" borderId="16" xfId="0" applyFill="1" applyBorder="1">
      <alignment vertical="center"/>
    </xf>
    <xf numFmtId="180" fontId="36" fillId="0" borderId="0" xfId="0" applyNumberFormat="1" applyFont="1">
      <alignment vertical="center"/>
    </xf>
    <xf numFmtId="180" fontId="37" fillId="0" borderId="0" xfId="0" applyNumberFormat="1" applyFont="1">
      <alignment vertical="center"/>
    </xf>
    <xf numFmtId="0" fontId="0" fillId="5" borderId="43" xfId="0" applyFill="1" applyBorder="1">
      <alignment vertical="center"/>
    </xf>
    <xf numFmtId="0" fontId="0" fillId="5" borderId="44" xfId="0" applyFill="1" applyBorder="1">
      <alignment vertical="center"/>
    </xf>
    <xf numFmtId="0" fontId="0" fillId="5" borderId="45" xfId="0" applyFill="1" applyBorder="1">
      <alignment vertical="center"/>
    </xf>
    <xf numFmtId="0" fontId="0" fillId="9" borderId="13" xfId="0" applyFill="1" applyBorder="1">
      <alignment vertical="center"/>
    </xf>
    <xf numFmtId="0" fontId="38" fillId="0" borderId="0" xfId="0" applyFont="1" applyAlignment="1">
      <alignment horizontal="center" vertical="center"/>
    </xf>
    <xf numFmtId="178" fontId="2" fillId="0" borderId="0" xfId="0" applyNumberFormat="1" applyFont="1" applyAlignment="1">
      <alignment horizontal="center" vertical="center"/>
    </xf>
    <xf numFmtId="0" fontId="39" fillId="0" borderId="0" xfId="0" applyFont="1" applyAlignment="1">
      <alignment horizontal="center" vertical="top"/>
    </xf>
    <xf numFmtId="0" fontId="0" fillId="6" borderId="10" xfId="0" applyFill="1" applyBorder="1">
      <alignment vertical="center"/>
    </xf>
    <xf numFmtId="0" fontId="0" fillId="6" borderId="38" xfId="0" applyFill="1" applyBorder="1">
      <alignment vertical="center"/>
    </xf>
    <xf numFmtId="0" fontId="0" fillId="6" borderId="2" xfId="0" applyFill="1" applyBorder="1">
      <alignment vertical="center"/>
    </xf>
    <xf numFmtId="0" fontId="0" fillId="6" borderId="5" xfId="0" applyFill="1" applyBorder="1">
      <alignment vertical="center"/>
    </xf>
    <xf numFmtId="0" fontId="0" fillId="6" borderId="8" xfId="0" applyFill="1" applyBorder="1">
      <alignment vertical="center"/>
    </xf>
    <xf numFmtId="0" fontId="13" fillId="5" borderId="6" xfId="0" applyFont="1" applyFill="1" applyBorder="1" applyAlignment="1">
      <alignment horizontal="center" vertical="center" wrapText="1" shrinkToFit="1"/>
    </xf>
    <xf numFmtId="181" fontId="0" fillId="0" borderId="1" xfId="0" applyNumberFormat="1" applyBorder="1">
      <alignment vertical="center"/>
    </xf>
    <xf numFmtId="0" fontId="0" fillId="0" borderId="1" xfId="0" applyBorder="1" applyAlignment="1">
      <alignment vertical="center" wrapText="1"/>
    </xf>
    <xf numFmtId="0" fontId="0" fillId="0" borderId="0" xfId="0" applyFill="1">
      <alignment vertical="center"/>
    </xf>
    <xf numFmtId="176" fontId="0" fillId="0" borderId="0" xfId="0" applyNumberFormat="1" applyFill="1" applyBorder="1" applyAlignment="1">
      <alignment horizontal="center" vertical="center"/>
    </xf>
    <xf numFmtId="182" fontId="0" fillId="0" borderId="0" xfId="0" applyNumberFormat="1" applyFill="1" applyBorder="1" applyAlignment="1">
      <alignment horizontal="center" vertical="center"/>
    </xf>
    <xf numFmtId="0" fontId="0" fillId="0" borderId="0" xfId="0" applyFill="1" applyBorder="1" applyAlignment="1">
      <alignment horizontal="center" vertical="center" shrinkToFit="1"/>
    </xf>
    <xf numFmtId="183" fontId="0" fillId="0" borderId="0" xfId="0" applyNumberFormat="1" applyFill="1" applyBorder="1" applyAlignment="1">
      <alignment horizontal="center" vertical="center"/>
    </xf>
    <xf numFmtId="0" fontId="19" fillId="0" borderId="0" xfId="0" applyFont="1" applyFill="1" applyBorder="1" applyAlignment="1">
      <alignment horizontal="center" vertical="center" wrapText="1" shrinkToFit="1"/>
    </xf>
    <xf numFmtId="0" fontId="0" fillId="0" borderId="0" xfId="0" applyBorder="1" applyAlignment="1">
      <alignment vertical="center" shrinkToFit="1"/>
    </xf>
    <xf numFmtId="0" fontId="19" fillId="0" borderId="0" xfId="0" applyFont="1" applyBorder="1" applyAlignment="1">
      <alignment horizontal="center" vertical="center" wrapText="1"/>
    </xf>
    <xf numFmtId="0" fontId="19" fillId="0" borderId="0" xfId="0" applyFont="1" applyBorder="1" applyAlignment="1">
      <alignment horizontal="center" vertical="center"/>
    </xf>
    <xf numFmtId="0" fontId="19" fillId="0" borderId="47" xfId="0" applyFont="1" applyFill="1" applyBorder="1" applyAlignment="1">
      <alignment horizontal="center" vertical="center" wrapText="1" shrinkToFit="1"/>
    </xf>
    <xf numFmtId="182" fontId="0" fillId="0" borderId="19" xfId="0" applyNumberFormat="1" applyFill="1" applyBorder="1" applyAlignment="1">
      <alignment horizontal="center" vertical="center"/>
    </xf>
    <xf numFmtId="183" fontId="0" fillId="0" borderId="25" xfId="0" applyNumberFormat="1" applyFill="1" applyBorder="1" applyAlignment="1">
      <alignment horizontal="center" vertical="center"/>
    </xf>
    <xf numFmtId="0" fontId="20" fillId="0" borderId="6" xfId="0" applyFont="1" applyFill="1" applyBorder="1" applyAlignment="1">
      <alignment horizontal="center" vertical="center" wrapText="1" shrinkToFit="1"/>
    </xf>
    <xf numFmtId="182" fontId="0" fillId="0" borderId="17" xfId="0" applyNumberFormat="1" applyFill="1" applyBorder="1" applyAlignment="1">
      <alignment horizontal="center" vertical="center"/>
    </xf>
    <xf numFmtId="183" fontId="0" fillId="0" borderId="18" xfId="0" applyNumberFormat="1" applyFill="1" applyBorder="1" applyAlignment="1">
      <alignment horizontal="center" vertical="center"/>
    </xf>
    <xf numFmtId="0" fontId="40" fillId="0" borderId="0" xfId="0" applyFont="1">
      <alignment vertical="center"/>
    </xf>
    <xf numFmtId="0" fontId="0" fillId="8" borderId="0" xfId="0" applyFill="1" applyAlignment="1">
      <alignment vertical="center" wrapText="1"/>
    </xf>
    <xf numFmtId="0" fontId="0" fillId="4" borderId="1" xfId="0" applyFill="1" applyBorder="1" applyAlignment="1">
      <alignment vertical="center" wrapText="1"/>
    </xf>
    <xf numFmtId="0" fontId="0" fillId="0" borderId="0" xfId="0" applyAlignment="1">
      <alignment vertical="center" wrapText="1"/>
    </xf>
    <xf numFmtId="0" fontId="0" fillId="0" borderId="0" xfId="0" applyAlignment="1">
      <alignment horizontal="center" vertical="center"/>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0" borderId="0" xfId="0" applyAlignment="1">
      <alignment horizontal="center" vertical="center"/>
    </xf>
    <xf numFmtId="0" fontId="13" fillId="4" borderId="1" xfId="0" applyFont="1" applyFill="1" applyBorder="1" applyAlignment="1">
      <alignment horizontal="center" vertical="center" wrapText="1"/>
    </xf>
    <xf numFmtId="0" fontId="7" fillId="5" borderId="6" xfId="0" applyFont="1" applyFill="1" applyBorder="1" applyAlignment="1">
      <alignment vertical="center" shrinkToFit="1"/>
    </xf>
    <xf numFmtId="0" fontId="7" fillId="4" borderId="0" xfId="0" applyFont="1" applyFill="1" applyBorder="1" applyAlignment="1">
      <alignment horizontal="center" vertical="center"/>
    </xf>
    <xf numFmtId="0" fontId="7" fillId="5" borderId="0" xfId="0" applyFont="1" applyFill="1" applyBorder="1" applyAlignment="1">
      <alignment vertical="center"/>
    </xf>
    <xf numFmtId="0" fontId="7" fillId="5" borderId="0" xfId="0" applyFont="1" applyFill="1" applyBorder="1" applyAlignment="1">
      <alignment horizontal="center" vertical="center"/>
    </xf>
    <xf numFmtId="0" fontId="7" fillId="0" borderId="0" xfId="0" applyFont="1" applyFill="1" applyBorder="1" applyAlignment="1">
      <alignment vertical="center"/>
    </xf>
    <xf numFmtId="0" fontId="7" fillId="0" borderId="0" xfId="0" applyFont="1" applyFill="1" applyBorder="1" applyAlignment="1">
      <alignment horizontal="center" vertical="center"/>
    </xf>
    <xf numFmtId="0" fontId="2" fillId="0" borderId="4" xfId="0" applyFont="1" applyBorder="1" applyAlignment="1">
      <alignment horizontal="center" vertical="center"/>
    </xf>
    <xf numFmtId="0" fontId="0" fillId="0" borderId="46" xfId="0" applyBorder="1" applyAlignment="1">
      <alignment horizontal="center" vertical="center"/>
    </xf>
    <xf numFmtId="178" fontId="5" fillId="0" borderId="6" xfId="0" applyNumberFormat="1" applyFont="1" applyBorder="1" applyAlignment="1">
      <alignment horizontal="center" vertical="center"/>
    </xf>
    <xf numFmtId="179" fontId="0" fillId="0" borderId="2" xfId="0" applyNumberFormat="1" applyBorder="1">
      <alignment vertical="center"/>
    </xf>
    <xf numFmtId="0" fontId="5" fillId="0" borderId="48" xfId="0" applyFont="1" applyFill="1" applyBorder="1">
      <alignment vertical="center"/>
    </xf>
    <xf numFmtId="0" fontId="0" fillId="0" borderId="49" xfId="0" applyFill="1" applyBorder="1">
      <alignment vertical="center"/>
    </xf>
    <xf numFmtId="0" fontId="0" fillId="0" borderId="50" xfId="0" applyFill="1" applyBorder="1">
      <alignment vertical="center"/>
    </xf>
    <xf numFmtId="0" fontId="0" fillId="0" borderId="32" xfId="0" applyBorder="1">
      <alignment vertical="center"/>
    </xf>
    <xf numFmtId="0" fontId="2" fillId="0" borderId="22" xfId="0" applyFont="1" applyBorder="1" applyAlignment="1">
      <alignment horizontal="center" vertical="center"/>
    </xf>
    <xf numFmtId="0" fontId="0" fillId="0" borderId="34" xfId="0" applyBorder="1">
      <alignment vertical="center"/>
    </xf>
    <xf numFmtId="0" fontId="0" fillId="0" borderId="35" xfId="0" applyBorder="1">
      <alignment vertical="center"/>
    </xf>
    <xf numFmtId="0" fontId="4" fillId="0" borderId="0" xfId="0" applyFont="1" applyAlignment="1">
      <alignment horizontal="left" vertical="center"/>
    </xf>
    <xf numFmtId="0" fontId="42" fillId="0" borderId="0" xfId="0" applyFont="1" applyAlignment="1">
      <alignment horizontal="left" vertical="center"/>
    </xf>
    <xf numFmtId="0" fontId="43" fillId="0" borderId="0" xfId="0" applyFont="1">
      <alignment vertical="center"/>
    </xf>
    <xf numFmtId="0" fontId="43" fillId="0" borderId="0" xfId="0" applyFont="1" applyFill="1" applyBorder="1" applyAlignment="1">
      <alignment horizontal="center" vertical="center"/>
    </xf>
    <xf numFmtId="0" fontId="0" fillId="0" borderId="0" xfId="0" applyFill="1" applyAlignment="1">
      <alignment horizontal="center" vertical="center"/>
    </xf>
    <xf numFmtId="0" fontId="41" fillId="0" borderId="0" xfId="0" applyFont="1" applyFill="1" applyBorder="1" applyAlignment="1">
      <alignment horizontal="left" vertical="center"/>
    </xf>
    <xf numFmtId="183" fontId="0" fillId="0" borderId="0" xfId="0" applyNumberFormat="1">
      <alignment vertical="center"/>
    </xf>
    <xf numFmtId="183" fontId="41" fillId="0" borderId="0" xfId="0" applyNumberFormat="1" applyFont="1" applyFill="1" applyBorder="1" applyAlignment="1">
      <alignment horizontal="right" vertical="center"/>
    </xf>
    <xf numFmtId="0" fontId="19" fillId="3" borderId="1" xfId="0" applyFont="1" applyFill="1" applyBorder="1" applyAlignment="1">
      <alignment horizontal="center" vertical="center"/>
    </xf>
    <xf numFmtId="178" fontId="19" fillId="3" borderId="1" xfId="0" applyNumberFormat="1" applyFont="1" applyFill="1" applyBorder="1" applyAlignment="1">
      <alignment horizontal="center" vertical="center"/>
    </xf>
    <xf numFmtId="178" fontId="19" fillId="0" borderId="1" xfId="0" applyNumberFormat="1" applyFont="1" applyFill="1" applyBorder="1" applyAlignment="1">
      <alignment horizontal="center" vertical="center"/>
    </xf>
    <xf numFmtId="183" fontId="42" fillId="0" borderId="2" xfId="0" applyNumberFormat="1" applyFont="1" applyBorder="1">
      <alignment vertical="center"/>
    </xf>
    <xf numFmtId="0" fontId="0" fillId="0" borderId="51" xfId="0" applyFill="1" applyBorder="1" applyAlignment="1">
      <alignment horizontal="center" vertical="center" shrinkToFit="1"/>
    </xf>
    <xf numFmtId="0" fontId="23" fillId="0" borderId="0" xfId="0" applyFont="1" applyBorder="1" applyAlignment="1">
      <alignment vertical="center" shrinkToFit="1"/>
    </xf>
    <xf numFmtId="0" fontId="0" fillId="0" borderId="53" xfId="0" applyFill="1" applyBorder="1" applyAlignment="1">
      <alignment horizontal="center" vertical="center" shrinkToFit="1"/>
    </xf>
    <xf numFmtId="0" fontId="19" fillId="0" borderId="54" xfId="0" applyFont="1" applyBorder="1" applyAlignment="1">
      <alignment horizontal="center" vertical="center" wrapText="1"/>
    </xf>
    <xf numFmtId="0" fontId="19" fillId="0" borderId="55" xfId="0" applyFont="1" applyBorder="1" applyAlignment="1">
      <alignment horizontal="center" vertical="center" wrapText="1"/>
    </xf>
    <xf numFmtId="0" fontId="19" fillId="0" borderId="32" xfId="0" applyFont="1" applyBorder="1" applyAlignment="1">
      <alignment horizontal="center" vertical="center"/>
    </xf>
    <xf numFmtId="0" fontId="19" fillId="0" borderId="58" xfId="0" applyFont="1" applyBorder="1" applyAlignment="1">
      <alignment horizontal="center" vertical="center"/>
    </xf>
    <xf numFmtId="179" fontId="0" fillId="4" borderId="53" xfId="0" applyNumberFormat="1" applyFill="1" applyBorder="1" applyAlignment="1">
      <alignment vertical="center" shrinkToFit="1"/>
    </xf>
    <xf numFmtId="179" fontId="0" fillId="4" borderId="51" xfId="0" applyNumberFormat="1" applyFill="1" applyBorder="1" applyAlignment="1">
      <alignment vertical="center" shrinkToFit="1"/>
    </xf>
    <xf numFmtId="179" fontId="0" fillId="4" borderId="52" xfId="0" applyNumberFormat="1" applyFill="1" applyBorder="1" applyAlignment="1">
      <alignment vertical="center"/>
    </xf>
    <xf numFmtId="179" fontId="0" fillId="4" borderId="57" xfId="0" applyNumberFormat="1" applyFill="1" applyBorder="1" applyAlignment="1">
      <alignment vertical="center"/>
    </xf>
    <xf numFmtId="0" fontId="0" fillId="0" borderId="0" xfId="0" applyAlignment="1">
      <alignment horizontal="center" vertical="center"/>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7" fillId="0" borderId="0" xfId="0" applyFont="1" applyFill="1" applyBorder="1" applyAlignment="1">
      <alignment vertical="center" shrinkToFit="1"/>
    </xf>
    <xf numFmtId="0" fontId="7" fillId="5" borderId="1" xfId="0" applyFont="1" applyFill="1" applyBorder="1" applyAlignment="1">
      <alignment vertical="center" shrinkToFit="1"/>
    </xf>
    <xf numFmtId="0" fontId="2" fillId="0" borderId="39" xfId="0" applyFont="1" applyFill="1" applyBorder="1" applyAlignment="1">
      <alignment horizontal="center" vertical="center"/>
    </xf>
    <xf numFmtId="0" fontId="7" fillId="0" borderId="39" xfId="0" applyFont="1" applyFill="1" applyBorder="1" applyAlignment="1">
      <alignment vertical="center" wrapText="1"/>
    </xf>
    <xf numFmtId="0" fontId="7" fillId="0" borderId="0" xfId="0" applyFont="1" applyFill="1" applyBorder="1" applyAlignment="1">
      <alignment vertical="center" wrapText="1"/>
    </xf>
    <xf numFmtId="0" fontId="7" fillId="0" borderId="39" xfId="0" applyFont="1" applyFill="1" applyBorder="1" applyAlignment="1">
      <alignment vertical="center" shrinkToFit="1"/>
    </xf>
    <xf numFmtId="0" fontId="2" fillId="4" borderId="16" xfId="0" applyFont="1" applyFill="1" applyBorder="1" applyAlignment="1">
      <alignment horizontal="center" vertical="center"/>
    </xf>
    <xf numFmtId="0" fontId="6" fillId="6" borderId="16" xfId="0" applyFont="1" applyFill="1" applyBorder="1" applyAlignment="1">
      <alignment horizontal="center" vertical="center" shrinkToFit="1"/>
    </xf>
    <xf numFmtId="0" fontId="7" fillId="6" borderId="16" xfId="0" applyFont="1" applyFill="1" applyBorder="1" applyAlignment="1">
      <alignment horizontal="center" vertical="center" shrinkToFit="1"/>
    </xf>
    <xf numFmtId="0" fontId="6" fillId="6" borderId="47" xfId="0" applyFont="1" applyFill="1" applyBorder="1" applyAlignment="1">
      <alignment horizontal="center" vertical="center" shrinkToFit="1"/>
    </xf>
    <xf numFmtId="0" fontId="7" fillId="5" borderId="16" xfId="0" applyFont="1" applyFill="1" applyBorder="1" applyAlignment="1">
      <alignment horizontal="center" vertical="center" shrinkToFit="1"/>
    </xf>
    <xf numFmtId="0" fontId="7" fillId="5" borderId="16" xfId="0" applyFont="1" applyFill="1" applyBorder="1" applyAlignment="1">
      <alignment horizontal="center" vertical="center"/>
    </xf>
    <xf numFmtId="0" fontId="7" fillId="5" borderId="15" xfId="0" applyFont="1" applyFill="1" applyBorder="1" applyAlignment="1">
      <alignment horizontal="center" vertical="center" shrinkToFit="1"/>
    </xf>
    <xf numFmtId="0" fontId="7" fillId="5" borderId="59" xfId="0" applyFont="1" applyFill="1" applyBorder="1" applyAlignment="1">
      <alignment vertical="center" shrinkToFit="1"/>
    </xf>
    <xf numFmtId="0" fontId="13" fillId="4" borderId="18" xfId="0" applyFont="1" applyFill="1" applyBorder="1" applyAlignment="1">
      <alignment horizontal="center" vertical="center" wrapText="1" shrinkToFit="1"/>
    </xf>
    <xf numFmtId="0" fontId="18" fillId="0" borderId="0" xfId="0" applyFont="1">
      <alignment vertical="center"/>
    </xf>
    <xf numFmtId="0" fontId="23" fillId="5" borderId="18" xfId="0" applyFont="1" applyFill="1" applyBorder="1" applyAlignment="1">
      <alignment horizontal="center" vertical="center" shrinkToFit="1"/>
    </xf>
    <xf numFmtId="0" fontId="23" fillId="5" borderId="60" xfId="0" applyFont="1" applyFill="1" applyBorder="1" applyAlignment="1">
      <alignment horizontal="center" vertical="center" shrinkToFit="1"/>
    </xf>
    <xf numFmtId="0" fontId="23" fillId="5" borderId="17" xfId="0" applyFont="1" applyFill="1" applyBorder="1" applyAlignment="1">
      <alignment horizontal="center" vertical="center" shrinkToFit="1"/>
    </xf>
    <xf numFmtId="0" fontId="23" fillId="5" borderId="61" xfId="0" applyFont="1" applyFill="1" applyBorder="1" applyAlignment="1">
      <alignment horizontal="center" vertical="center" shrinkToFit="1"/>
    </xf>
    <xf numFmtId="0" fontId="7" fillId="5" borderId="3" xfId="0" applyFont="1" applyFill="1" applyBorder="1" applyAlignment="1">
      <alignment vertical="center" shrinkToFit="1"/>
    </xf>
    <xf numFmtId="180" fontId="37" fillId="0" borderId="0" xfId="0" applyNumberFormat="1" applyFont="1" applyAlignment="1">
      <alignment horizontal="center" vertical="center"/>
    </xf>
    <xf numFmtId="0" fontId="3" fillId="0" borderId="0" xfId="0" applyFont="1" applyFill="1" applyBorder="1" applyAlignment="1">
      <alignment horizontal="center" vertical="center" wrapText="1"/>
    </xf>
    <xf numFmtId="0" fontId="3" fillId="0" borderId="0" xfId="0" applyFont="1" applyFill="1" applyBorder="1" applyAlignment="1">
      <alignment horizontal="center" vertical="center" shrinkToFit="1"/>
    </xf>
    <xf numFmtId="0" fontId="5" fillId="5" borderId="1" xfId="0" applyFont="1" applyFill="1" applyBorder="1" applyAlignment="1">
      <alignment horizontal="center" vertical="center" shrinkToFit="1"/>
    </xf>
    <xf numFmtId="0" fontId="5" fillId="0" borderId="0" xfId="0" applyFont="1" applyFill="1" applyBorder="1" applyAlignment="1">
      <alignment horizontal="center" vertical="center" shrinkToFit="1"/>
    </xf>
    <xf numFmtId="0" fontId="5" fillId="5" borderId="3" xfId="0" applyFont="1" applyFill="1" applyBorder="1" applyAlignment="1">
      <alignment horizontal="center" vertical="center" shrinkToFit="1"/>
    </xf>
    <xf numFmtId="0" fontId="18" fillId="0" borderId="0" xfId="0" applyFont="1" applyFill="1" applyBorder="1" applyAlignment="1">
      <alignment horizontal="center" vertical="center" shrinkToFit="1"/>
    </xf>
    <xf numFmtId="0" fontId="16" fillId="4" borderId="21" xfId="0" applyFont="1" applyFill="1" applyBorder="1" applyAlignment="1">
      <alignment horizontal="center" vertical="center" shrinkToFit="1"/>
    </xf>
    <xf numFmtId="0" fontId="2" fillId="3" borderId="16" xfId="0" applyFont="1" applyFill="1" applyBorder="1" applyAlignment="1">
      <alignment horizontal="center" vertical="center"/>
    </xf>
    <xf numFmtId="0" fontId="5" fillId="4" borderId="1" xfId="0" applyFont="1" applyFill="1" applyBorder="1" applyAlignment="1">
      <alignment horizontal="center" vertical="center"/>
    </xf>
    <xf numFmtId="0" fontId="24" fillId="0" borderId="39" xfId="0" applyFont="1" applyBorder="1" applyAlignment="1">
      <alignment horizontal="left" vertical="top" wrapText="1"/>
    </xf>
    <xf numFmtId="0" fontId="24" fillId="0" borderId="0" xfId="0" applyFont="1" applyAlignment="1">
      <alignment horizontal="left" vertical="top" wrapText="1"/>
    </xf>
    <xf numFmtId="0" fontId="7" fillId="6" borderId="24" xfId="0" applyFont="1" applyFill="1" applyBorder="1" applyAlignment="1">
      <alignment horizontal="center" vertical="center" shrinkToFit="1"/>
    </xf>
    <xf numFmtId="0" fontId="7" fillId="5" borderId="47" xfId="0" applyFont="1" applyFill="1" applyBorder="1" applyAlignment="1">
      <alignment horizontal="center" vertical="center" shrinkToFit="1"/>
    </xf>
    <xf numFmtId="0" fontId="7" fillId="6" borderId="25" xfId="0" applyFont="1" applyFill="1" applyBorder="1" applyAlignment="1">
      <alignment horizontal="center" vertical="center" shrinkToFit="1"/>
    </xf>
    <xf numFmtId="0" fontId="0" fillId="4" borderId="15" xfId="0" applyFill="1" applyBorder="1" applyAlignment="1">
      <alignment horizontal="center" vertical="center"/>
    </xf>
    <xf numFmtId="0" fontId="5" fillId="6" borderId="1" xfId="0" applyFont="1" applyFill="1" applyBorder="1" applyAlignment="1">
      <alignment horizontal="center" vertical="center" shrinkToFit="1"/>
    </xf>
    <xf numFmtId="0" fontId="0" fillId="0" borderId="0" xfId="0" applyAlignment="1">
      <alignment horizontal="center" vertical="center"/>
    </xf>
    <xf numFmtId="0" fontId="5" fillId="6" borderId="1" xfId="0" applyFont="1" applyFill="1" applyBorder="1" applyAlignment="1">
      <alignment horizontal="center" vertical="center" shrinkToFit="1"/>
    </xf>
    <xf numFmtId="0" fontId="5" fillId="4" borderId="1" xfId="0" applyFont="1" applyFill="1" applyBorder="1" applyAlignment="1">
      <alignment horizontal="center" vertical="center"/>
    </xf>
    <xf numFmtId="0" fontId="0" fillId="5" borderId="2" xfId="0" applyFill="1" applyBorder="1" applyAlignment="1">
      <alignment horizontal="center" vertical="center" shrinkToFit="1"/>
    </xf>
    <xf numFmtId="0" fontId="13" fillId="5" borderId="59" xfId="0" applyFont="1" applyFill="1" applyBorder="1" applyAlignment="1">
      <alignment vertical="center" wrapText="1" shrinkToFit="1"/>
    </xf>
    <xf numFmtId="0" fontId="7" fillId="5" borderId="1" xfId="0" applyFont="1" applyFill="1" applyBorder="1" applyAlignment="1">
      <alignment horizontal="center" vertical="center" wrapText="1" shrinkToFit="1"/>
    </xf>
    <xf numFmtId="0" fontId="0" fillId="4" borderId="64" xfId="0" applyFill="1" applyBorder="1" applyAlignment="1">
      <alignment horizontal="left" vertical="center"/>
    </xf>
    <xf numFmtId="0" fontId="0" fillId="4" borderId="65" xfId="0" applyFill="1" applyBorder="1" applyAlignment="1">
      <alignment horizontal="left" vertical="center"/>
    </xf>
    <xf numFmtId="0" fontId="0" fillId="4" borderId="43" xfId="0" applyFill="1" applyBorder="1" applyAlignment="1">
      <alignment horizontal="left" vertical="center"/>
    </xf>
    <xf numFmtId="0" fontId="0" fillId="4" borderId="30" xfId="0" applyFill="1" applyBorder="1" applyAlignment="1">
      <alignment horizontal="left" vertical="center"/>
    </xf>
    <xf numFmtId="0" fontId="0" fillId="4" borderId="17" xfId="0" applyFill="1" applyBorder="1" applyAlignment="1">
      <alignment horizontal="left" vertical="center"/>
    </xf>
    <xf numFmtId="0" fontId="0" fillId="4" borderId="44" xfId="0" applyFill="1" applyBorder="1" applyAlignment="1">
      <alignment horizontal="left" vertical="center"/>
    </xf>
    <xf numFmtId="0" fontId="0" fillId="4" borderId="62" xfId="0" applyFill="1" applyBorder="1" applyAlignment="1">
      <alignment horizontal="left" vertical="center"/>
    </xf>
    <xf numFmtId="0" fontId="0" fillId="4" borderId="63" xfId="0" applyFill="1" applyBorder="1" applyAlignment="1">
      <alignment horizontal="left" vertical="center"/>
    </xf>
    <xf numFmtId="0" fontId="0" fillId="4" borderId="45" xfId="0" applyFill="1" applyBorder="1" applyAlignment="1">
      <alignment horizontal="left" vertical="center"/>
    </xf>
    <xf numFmtId="0" fontId="0" fillId="4" borderId="12" xfId="0" applyFill="1" applyBorder="1" applyAlignment="1">
      <alignment horizontal="center" vertical="center"/>
    </xf>
    <xf numFmtId="0" fontId="0" fillId="4" borderId="14" xfId="0" applyFill="1" applyBorder="1" applyAlignment="1">
      <alignment horizontal="center" vertical="center"/>
    </xf>
    <xf numFmtId="0" fontId="0" fillId="4" borderId="13" xfId="0" applyFill="1" applyBorder="1" applyAlignment="1">
      <alignment horizontal="center" vertical="center"/>
    </xf>
    <xf numFmtId="0" fontId="5" fillId="4" borderId="1" xfId="0" applyFont="1" applyFill="1" applyBorder="1" applyAlignment="1">
      <alignment horizontal="center" vertical="center" shrinkToFit="1"/>
    </xf>
    <xf numFmtId="0" fontId="5" fillId="4" borderId="6" xfId="0" applyFont="1" applyFill="1" applyBorder="1" applyAlignment="1">
      <alignment horizontal="center" vertical="center" shrinkToFit="1"/>
    </xf>
    <xf numFmtId="0" fontId="3" fillId="0" borderId="0" xfId="0" applyFont="1" applyAlignment="1">
      <alignment horizontal="center" vertical="center"/>
    </xf>
    <xf numFmtId="0" fontId="4" fillId="0" borderId="0" xfId="0" applyFont="1" applyAlignment="1">
      <alignment horizontal="center" vertical="center"/>
    </xf>
    <xf numFmtId="0" fontId="4" fillId="0" borderId="0" xfId="0" applyFont="1" applyBorder="1" applyAlignment="1">
      <alignment horizontal="center" vertical="center"/>
    </xf>
    <xf numFmtId="176" fontId="0" fillId="5" borderId="12" xfId="0" applyNumberFormat="1" applyFill="1" applyBorder="1" applyAlignment="1">
      <alignment horizontal="center" vertical="center"/>
    </xf>
    <xf numFmtId="176" fontId="0" fillId="5" borderId="13" xfId="0" applyNumberFormat="1" applyFill="1" applyBorder="1" applyAlignment="1">
      <alignment horizontal="center" vertical="center"/>
    </xf>
    <xf numFmtId="0" fontId="0" fillId="5" borderId="12" xfId="0" applyNumberFormat="1" applyFill="1" applyBorder="1" applyAlignment="1">
      <alignment horizontal="center" vertical="center"/>
    </xf>
    <xf numFmtId="0" fontId="0" fillId="5" borderId="13" xfId="0" applyNumberFormat="1" applyFill="1" applyBorder="1" applyAlignment="1">
      <alignment horizontal="center" vertical="center"/>
    </xf>
    <xf numFmtId="0" fontId="0" fillId="5" borderId="12" xfId="0" applyFill="1" applyBorder="1" applyAlignment="1">
      <alignment horizontal="center" vertical="center"/>
    </xf>
    <xf numFmtId="0" fontId="0" fillId="5" borderId="14" xfId="0" applyFill="1" applyBorder="1" applyAlignment="1">
      <alignment horizontal="center" vertical="center"/>
    </xf>
    <xf numFmtId="0" fontId="0" fillId="5" borderId="13" xfId="0" applyFill="1" applyBorder="1" applyAlignment="1">
      <alignment horizontal="center" vertical="center"/>
    </xf>
    <xf numFmtId="0" fontId="0" fillId="0" borderId="0" xfId="0" applyAlignment="1">
      <alignment horizontal="center" vertical="center"/>
    </xf>
    <xf numFmtId="0" fontId="2" fillId="4" borderId="1" xfId="0" applyFont="1" applyFill="1" applyBorder="1" applyAlignment="1">
      <alignment horizontal="center" vertical="center" shrinkToFit="1"/>
    </xf>
    <xf numFmtId="0" fontId="2" fillId="4" borderId="6" xfId="0" applyFont="1" applyFill="1" applyBorder="1" applyAlignment="1">
      <alignment horizontal="center" vertical="center" shrinkToFit="1"/>
    </xf>
    <xf numFmtId="0" fontId="13" fillId="4" borderId="6" xfId="0" applyFont="1" applyFill="1" applyBorder="1" applyAlignment="1">
      <alignment horizontal="center" vertical="center" wrapText="1" shrinkToFit="1"/>
    </xf>
    <xf numFmtId="0" fontId="13" fillId="4" borderId="17" xfId="0" applyFont="1" applyFill="1" applyBorder="1" applyAlignment="1">
      <alignment horizontal="center" vertical="center" shrinkToFit="1"/>
    </xf>
    <xf numFmtId="0" fontId="13" fillId="4" borderId="44" xfId="0" applyFont="1" applyFill="1" applyBorder="1" applyAlignment="1">
      <alignment horizontal="center" vertical="center" shrinkToFit="1"/>
    </xf>
    <xf numFmtId="10" fontId="2" fillId="0" borderId="31" xfId="1" applyNumberFormat="1" applyFont="1" applyBorder="1" applyAlignment="1">
      <alignment horizontal="center" vertical="center"/>
    </xf>
    <xf numFmtId="10" fontId="2" fillId="0" borderId="40" xfId="1" applyNumberFormat="1" applyFont="1" applyBorder="1" applyAlignment="1">
      <alignment horizontal="center" vertical="center"/>
    </xf>
    <xf numFmtId="10" fontId="2" fillId="0" borderId="20" xfId="1" applyNumberFormat="1" applyFont="1" applyBorder="1" applyAlignment="1">
      <alignment horizontal="center" vertical="center"/>
    </xf>
    <xf numFmtId="176" fontId="0" fillId="3" borderId="12" xfId="0" applyNumberFormat="1" applyFill="1" applyBorder="1" applyAlignment="1">
      <alignment horizontal="center" vertical="center"/>
    </xf>
    <xf numFmtId="176" fontId="0" fillId="3" borderId="13" xfId="0" applyNumberFormat="1" applyFill="1" applyBorder="1" applyAlignment="1">
      <alignment horizontal="center" vertical="center"/>
    </xf>
    <xf numFmtId="0" fontId="3" fillId="0" borderId="0" xfId="0" applyFont="1" applyBorder="1" applyAlignment="1">
      <alignment horizontal="center" vertical="center"/>
    </xf>
    <xf numFmtId="0" fontId="0" fillId="0" borderId="34" xfId="0" applyBorder="1" applyAlignment="1">
      <alignment horizontal="center" vertical="center"/>
    </xf>
    <xf numFmtId="0" fontId="0" fillId="3" borderId="12" xfId="0" applyFill="1" applyBorder="1" applyAlignment="1">
      <alignment horizontal="center" vertical="center"/>
    </xf>
    <xf numFmtId="0" fontId="0" fillId="3" borderId="14" xfId="0" applyFill="1" applyBorder="1" applyAlignment="1">
      <alignment horizontal="center" vertical="center"/>
    </xf>
    <xf numFmtId="0" fontId="0" fillId="3" borderId="13" xfId="0" applyFill="1" applyBorder="1" applyAlignment="1">
      <alignment horizontal="center" vertical="center"/>
    </xf>
    <xf numFmtId="0" fontId="7" fillId="4" borderId="1" xfId="0" applyFont="1" applyFill="1" applyBorder="1" applyAlignment="1">
      <alignment horizontal="center" vertical="center" wrapText="1"/>
    </xf>
    <xf numFmtId="0" fontId="0" fillId="0" borderId="17" xfId="0" applyFill="1" applyBorder="1" applyAlignment="1">
      <alignment horizontal="center" vertical="center" shrinkToFit="1"/>
    </xf>
    <xf numFmtId="0" fontId="0" fillId="0" borderId="18" xfId="0" applyBorder="1" applyAlignment="1">
      <alignment vertical="center" shrinkToFit="1"/>
    </xf>
    <xf numFmtId="0" fontId="0" fillId="0" borderId="19" xfId="0" applyFill="1" applyBorder="1" applyAlignment="1">
      <alignment horizontal="center" vertical="center" shrinkToFit="1"/>
    </xf>
    <xf numFmtId="0" fontId="0" fillId="0" borderId="25" xfId="0" applyBorder="1" applyAlignment="1">
      <alignment vertical="center" shrinkToFit="1"/>
    </xf>
    <xf numFmtId="0" fontId="20" fillId="0" borderId="6" xfId="0" applyFont="1" applyBorder="1" applyAlignment="1">
      <alignment horizontal="center" vertical="center" wrapText="1"/>
    </xf>
    <xf numFmtId="0" fontId="19" fillId="0" borderId="17" xfId="0" applyFont="1" applyBorder="1" applyAlignment="1">
      <alignment horizontal="center" vertical="center"/>
    </xf>
    <xf numFmtId="0" fontId="19" fillId="0" borderId="47" xfId="0" applyFont="1" applyBorder="1" applyAlignment="1">
      <alignment horizontal="center" vertical="center" wrapText="1"/>
    </xf>
    <xf numFmtId="0" fontId="19" fillId="0" borderId="19" xfId="0" applyFont="1" applyBorder="1" applyAlignment="1">
      <alignment horizontal="center" vertical="center"/>
    </xf>
    <xf numFmtId="0" fontId="7" fillId="4" borderId="18" xfId="0" applyFont="1" applyFill="1" applyBorder="1" applyAlignment="1">
      <alignment horizontal="center" vertical="center"/>
    </xf>
    <xf numFmtId="0" fontId="0" fillId="0" borderId="1" xfId="0" applyBorder="1" applyAlignment="1">
      <alignment horizontal="center" vertical="center"/>
    </xf>
    <xf numFmtId="0" fontId="2" fillId="4" borderId="1" xfId="0" applyFont="1" applyFill="1" applyBorder="1" applyAlignment="1">
      <alignment horizontal="center" vertical="center"/>
    </xf>
    <xf numFmtId="0" fontId="2" fillId="4" borderId="3" xfId="0" applyFont="1" applyFill="1" applyBorder="1" applyAlignment="1">
      <alignment horizontal="center" vertical="center"/>
    </xf>
    <xf numFmtId="0" fontId="0" fillId="0" borderId="13" xfId="0" applyBorder="1" applyAlignment="1">
      <alignment horizontal="center" vertical="center"/>
    </xf>
    <xf numFmtId="0" fontId="7" fillId="4" borderId="3" xfId="0" applyFont="1" applyFill="1" applyBorder="1" applyAlignment="1">
      <alignment horizontal="center" vertical="center"/>
    </xf>
    <xf numFmtId="0" fontId="7" fillId="4" borderId="16" xfId="0" applyFont="1" applyFill="1" applyBorder="1" applyAlignment="1">
      <alignment horizontal="center" vertical="center"/>
    </xf>
    <xf numFmtId="0" fontId="2" fillId="4" borderId="3"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7" fillId="4" borderId="36" xfId="0" applyFont="1" applyFill="1" applyBorder="1" applyAlignment="1">
      <alignment horizontal="left" vertical="center" wrapText="1"/>
    </xf>
    <xf numFmtId="0" fontId="7" fillId="4" borderId="41" xfId="0" applyFont="1" applyFill="1" applyBorder="1" applyAlignment="1">
      <alignment horizontal="left" vertical="center" wrapText="1"/>
    </xf>
    <xf numFmtId="0" fontId="7" fillId="4" borderId="42" xfId="0" applyFont="1" applyFill="1" applyBorder="1" applyAlignment="1">
      <alignment horizontal="left" vertical="center" wrapText="1"/>
    </xf>
    <xf numFmtId="0" fontId="7" fillId="4" borderId="1" xfId="0" applyFont="1" applyFill="1" applyBorder="1" applyAlignment="1">
      <alignment horizontal="center" vertical="center"/>
    </xf>
    <xf numFmtId="0" fontId="13" fillId="4" borderId="1"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7" fillId="4" borderId="59" xfId="0" applyFont="1" applyFill="1" applyBorder="1" applyAlignment="1">
      <alignment horizontal="center" vertical="center"/>
    </xf>
    <xf numFmtId="0" fontId="6" fillId="4" borderId="1" xfId="0" applyFont="1" applyFill="1" applyBorder="1" applyAlignment="1">
      <alignment horizontal="center" vertical="center" wrapText="1"/>
    </xf>
    <xf numFmtId="176" fontId="0" fillId="3" borderId="14" xfId="0" applyNumberFormat="1" applyFill="1" applyBorder="1" applyAlignment="1">
      <alignment horizontal="center" vertical="center"/>
    </xf>
    <xf numFmtId="0" fontId="0" fillId="4" borderId="30" xfId="0" applyFill="1" applyBorder="1" applyAlignment="1">
      <alignment horizontal="center" vertical="center" shrinkToFit="1"/>
    </xf>
    <xf numFmtId="0" fontId="0" fillId="4" borderId="18" xfId="0" applyFill="1" applyBorder="1" applyAlignment="1">
      <alignment horizontal="center" vertical="center" shrinkToFit="1"/>
    </xf>
    <xf numFmtId="0" fontId="0" fillId="4" borderId="1" xfId="0" applyFill="1" applyBorder="1" applyAlignment="1">
      <alignment horizontal="center" vertical="center" shrinkToFit="1"/>
    </xf>
    <xf numFmtId="0" fontId="0" fillId="4" borderId="26" xfId="0" applyFill="1" applyBorder="1" applyAlignment="1">
      <alignment horizontal="center" vertical="center" shrinkToFit="1"/>
    </xf>
    <xf numFmtId="0" fontId="0" fillId="4" borderId="24" xfId="0" applyFill="1" applyBorder="1" applyAlignment="1">
      <alignment horizontal="center" vertical="center" shrinkToFit="1"/>
    </xf>
    <xf numFmtId="0" fontId="0" fillId="4" borderId="22" xfId="0" applyFill="1" applyBorder="1" applyAlignment="1">
      <alignment horizontal="center" vertical="center" shrinkToFit="1"/>
    </xf>
    <xf numFmtId="0" fontId="0" fillId="4" borderId="23" xfId="0" applyFill="1" applyBorder="1" applyAlignment="1">
      <alignment horizontal="center" vertical="center" shrinkToFit="1"/>
    </xf>
    <xf numFmtId="0" fontId="0" fillId="4" borderId="25" xfId="0" applyFill="1" applyBorder="1" applyAlignment="1">
      <alignment horizontal="center" vertical="center" shrinkToFit="1"/>
    </xf>
    <xf numFmtId="0" fontId="0" fillId="4" borderId="27" xfId="0" applyFill="1" applyBorder="1" applyAlignment="1">
      <alignment horizontal="center" vertical="center"/>
    </xf>
    <xf numFmtId="0" fontId="0" fillId="4" borderId="28" xfId="0" applyFill="1" applyBorder="1" applyAlignment="1">
      <alignment horizontal="center" vertical="center"/>
    </xf>
    <xf numFmtId="0" fontId="0" fillId="0" borderId="1" xfId="0" applyBorder="1" applyAlignment="1">
      <alignment horizontal="center" vertical="center" wrapText="1"/>
    </xf>
    <xf numFmtId="0" fontId="0" fillId="2" borderId="18" xfId="0" applyFill="1" applyBorder="1" applyAlignment="1">
      <alignment horizontal="center" vertical="center" shrinkToFit="1"/>
    </xf>
    <xf numFmtId="0" fontId="0" fillId="2" borderId="1" xfId="0" applyFill="1" applyBorder="1" applyAlignment="1">
      <alignment horizontal="center" vertical="center" shrinkToFit="1"/>
    </xf>
    <xf numFmtId="0" fontId="5" fillId="4" borderId="1" xfId="0" applyFont="1" applyFill="1" applyBorder="1" applyAlignment="1">
      <alignment horizontal="center" vertical="center"/>
    </xf>
    <xf numFmtId="0" fontId="7" fillId="0" borderId="19" xfId="0" applyFont="1" applyFill="1" applyBorder="1" applyAlignment="1">
      <alignment horizontal="center" vertical="center"/>
    </xf>
    <xf numFmtId="0" fontId="18" fillId="0" borderId="17" xfId="0" applyFont="1" applyBorder="1" applyAlignment="1">
      <alignment horizontal="center" vertical="center"/>
    </xf>
    <xf numFmtId="0" fontId="30" fillId="0" borderId="0" xfId="0" applyFont="1" applyFill="1" applyAlignment="1">
      <alignment horizontal="center" vertical="center" shrinkToFit="1"/>
    </xf>
    <xf numFmtId="0" fontId="5" fillId="0" borderId="12"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19" xfId="0" applyFont="1" applyFill="1" applyBorder="1" applyAlignment="1">
      <alignment horizontal="center" vertical="center"/>
    </xf>
    <xf numFmtId="0" fontId="2" fillId="7" borderId="1" xfId="0" applyFont="1" applyFill="1" applyBorder="1" applyAlignment="1">
      <alignment horizontal="center" vertical="center"/>
    </xf>
    <xf numFmtId="0" fontId="6" fillId="0" borderId="19" xfId="0" applyFont="1" applyBorder="1" applyAlignment="1">
      <alignment horizontal="center" vertical="center"/>
    </xf>
    <xf numFmtId="0" fontId="7" fillId="0" borderId="19" xfId="0" applyFont="1" applyBorder="1" applyAlignment="1">
      <alignment horizontal="center" vertical="center"/>
    </xf>
    <xf numFmtId="0" fontId="30" fillId="0" borderId="0" xfId="0" applyFont="1" applyFill="1" applyAlignment="1">
      <alignment horizontal="right" vertical="center"/>
    </xf>
    <xf numFmtId="0" fontId="5" fillId="0" borderId="19" xfId="0" applyFont="1" applyBorder="1" applyAlignment="1">
      <alignment horizontal="center" vertical="center" shrinkToFit="1"/>
    </xf>
    <xf numFmtId="0" fontId="5" fillId="0" borderId="0" xfId="0" applyFont="1" applyAlignment="1">
      <alignment horizontal="center" vertical="center" shrinkToFit="1"/>
    </xf>
    <xf numFmtId="176" fontId="23" fillId="3" borderId="12" xfId="0" applyNumberFormat="1" applyFont="1" applyFill="1" applyBorder="1" applyAlignment="1">
      <alignment horizontal="center" vertical="center"/>
    </xf>
    <xf numFmtId="176" fontId="23" fillId="3" borderId="13" xfId="0" applyNumberFormat="1" applyFont="1" applyFill="1" applyBorder="1" applyAlignment="1">
      <alignment horizontal="center" vertical="center"/>
    </xf>
    <xf numFmtId="0" fontId="23" fillId="3" borderId="12" xfId="0" applyFont="1" applyFill="1" applyBorder="1" applyAlignment="1">
      <alignment horizontal="center" vertical="center"/>
    </xf>
    <xf numFmtId="0" fontId="23" fillId="3" borderId="14" xfId="0" applyFont="1" applyFill="1" applyBorder="1" applyAlignment="1">
      <alignment horizontal="center" vertical="center"/>
    </xf>
    <xf numFmtId="0" fontId="23" fillId="3" borderId="13" xfId="0" applyFont="1" applyFill="1" applyBorder="1" applyAlignment="1">
      <alignment horizontal="center" vertical="center"/>
    </xf>
    <xf numFmtId="0" fontId="5" fillId="0" borderId="12" xfId="0" applyFont="1" applyBorder="1" applyAlignment="1">
      <alignment horizontal="center" vertical="center"/>
    </xf>
    <xf numFmtId="0" fontId="5" fillId="0" borderId="14" xfId="0" applyFont="1" applyBorder="1" applyAlignment="1">
      <alignment horizontal="center" vertical="center"/>
    </xf>
    <xf numFmtId="0" fontId="5" fillId="0" borderId="13" xfId="0" applyFont="1" applyBorder="1" applyAlignment="1">
      <alignment horizontal="center" vertical="center"/>
    </xf>
    <xf numFmtId="0" fontId="5" fillId="6" borderId="1" xfId="0" applyFont="1" applyFill="1" applyBorder="1" applyAlignment="1">
      <alignment horizontal="center" vertical="center" shrinkToFit="1"/>
    </xf>
    <xf numFmtId="0" fontId="23" fillId="0" borderId="34" xfId="0" applyFont="1" applyBorder="1" applyAlignment="1">
      <alignment horizontal="left" vertical="center"/>
    </xf>
    <xf numFmtId="0" fontId="0" fillId="0" borderId="34" xfId="0" applyFont="1" applyBorder="1" applyAlignment="1">
      <alignment horizontal="center" vertical="center"/>
    </xf>
    <xf numFmtId="180" fontId="37" fillId="0" borderId="0" xfId="0" applyNumberFormat="1" applyFont="1" applyAlignment="1">
      <alignment horizontal="right" vertical="center"/>
    </xf>
    <xf numFmtId="0" fontId="43" fillId="3" borderId="12" xfId="0" applyFont="1" applyFill="1" applyBorder="1" applyAlignment="1">
      <alignment horizontal="center" vertical="center"/>
    </xf>
    <xf numFmtId="0" fontId="0" fillId="0" borderId="14" xfId="0" applyBorder="1" applyAlignment="1">
      <alignment horizontal="center" vertical="center"/>
    </xf>
    <xf numFmtId="0" fontId="40" fillId="0" borderId="19" xfId="0" applyFont="1" applyBorder="1" applyAlignment="1">
      <alignment horizontal="center" vertical="center" shrinkToFit="1"/>
    </xf>
    <xf numFmtId="0" fontId="0" fillId="0" borderId="0" xfId="0" applyAlignment="1">
      <alignment vertical="center" wrapText="1"/>
    </xf>
    <xf numFmtId="0" fontId="0" fillId="0" borderId="0" xfId="0" applyAlignment="1">
      <alignment horizontal="left" vertical="top"/>
    </xf>
    <xf numFmtId="0" fontId="3" fillId="0" borderId="0" xfId="0" applyFont="1" applyAlignment="1">
      <alignment horizontal="left" vertical="center"/>
    </xf>
    <xf numFmtId="0" fontId="0" fillId="0" borderId="0" xfId="0" applyAlignment="1">
      <alignment horizontal="left" vertical="center"/>
    </xf>
    <xf numFmtId="0" fontId="23" fillId="0" borderId="48" xfId="0" applyFont="1" applyFill="1" applyBorder="1" applyAlignment="1">
      <alignment horizontal="center" vertical="center" wrapText="1" shrinkToFit="1"/>
    </xf>
    <xf numFmtId="0" fontId="23" fillId="0" borderId="49" xfId="0" applyFont="1" applyBorder="1" applyAlignment="1">
      <alignment vertical="center"/>
    </xf>
    <xf numFmtId="0" fontId="23" fillId="0" borderId="22" xfId="0" applyFont="1" applyBorder="1" applyAlignment="1">
      <alignment vertical="center"/>
    </xf>
    <xf numFmtId="0" fontId="23" fillId="0" borderId="0" xfId="0" applyFont="1" applyBorder="1" applyAlignment="1">
      <alignment vertical="center"/>
    </xf>
    <xf numFmtId="0" fontId="5" fillId="0" borderId="56" xfId="0" applyFont="1" applyBorder="1" applyAlignment="1">
      <alignment vertical="center" wrapText="1"/>
    </xf>
    <xf numFmtId="0" fontId="5" fillId="0" borderId="57" xfId="0" applyFont="1" applyBorder="1" applyAlignment="1">
      <alignment vertical="center" wrapText="1"/>
    </xf>
    <xf numFmtId="0" fontId="0" fillId="0" borderId="0" xfId="0" applyAlignment="1">
      <alignment horizontal="left" vertical="center" wrapText="1"/>
    </xf>
    <xf numFmtId="0" fontId="0" fillId="0" borderId="0" xfId="0" applyAlignment="1">
      <alignment horizontal="left" vertical="top" wrapText="1"/>
    </xf>
    <xf numFmtId="0" fontId="25" fillId="0" borderId="0" xfId="0" applyFont="1" applyAlignment="1">
      <alignment horizontal="left" vertical="center"/>
    </xf>
    <xf numFmtId="0" fontId="26" fillId="0" borderId="0" xfId="0" applyFont="1" applyAlignment="1">
      <alignment horizontal="left" vertical="center"/>
    </xf>
    <xf numFmtId="180" fontId="35" fillId="8" borderId="12" xfId="0" applyNumberFormat="1" applyFont="1" applyFill="1" applyBorder="1" applyAlignment="1">
      <alignment horizontal="center" vertical="center"/>
    </xf>
    <xf numFmtId="180" fontId="35" fillId="8" borderId="13" xfId="0" applyNumberFormat="1" applyFont="1" applyFill="1" applyBorder="1" applyAlignment="1">
      <alignment horizontal="center" vertical="center"/>
    </xf>
    <xf numFmtId="0" fontId="0" fillId="0" borderId="3" xfId="0" applyBorder="1" applyAlignment="1">
      <alignment vertical="center"/>
    </xf>
    <xf numFmtId="0" fontId="0" fillId="0" borderId="16" xfId="0" applyBorder="1" applyAlignment="1">
      <alignment vertical="center"/>
    </xf>
  </cellXfs>
  <cellStyles count="2">
    <cellStyle name="パーセント" xfId="1" builtinId="5"/>
    <cellStyle name="標準" xfId="0" builtinId="0"/>
  </cellStyles>
  <dxfs count="17">
    <dxf>
      <fill>
        <patternFill>
          <bgColor rgb="FFFFFF99"/>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59996337778862885"/>
        </patternFill>
      </fill>
    </dxf>
    <dxf>
      <fill>
        <patternFill patternType="none">
          <bgColor auto="1"/>
        </patternFill>
      </fill>
    </dxf>
    <dxf>
      <fill>
        <patternFill>
          <bgColor theme="6" tint="0.79998168889431442"/>
        </patternFill>
      </fill>
    </dxf>
    <dxf>
      <fill>
        <patternFill>
          <bgColor theme="7" tint="0.59996337778862885"/>
        </patternFill>
      </fill>
    </dxf>
    <dxf>
      <fill>
        <patternFill patternType="none">
          <bgColor auto="1"/>
        </patternFill>
      </fill>
    </dxf>
    <dxf>
      <fill>
        <patternFill>
          <bgColor theme="6" tint="0.79998168889431442"/>
        </patternFill>
      </fill>
    </dxf>
    <dxf>
      <fill>
        <patternFill>
          <bgColor theme="0" tint="-0.499984740745262"/>
        </patternFill>
      </fill>
    </dxf>
    <dxf>
      <fill>
        <patternFill>
          <bgColor theme="7" tint="0.59996337778862885"/>
        </patternFill>
      </fill>
    </dxf>
    <dxf>
      <fill>
        <patternFill patternType="none">
          <bgColor auto="1"/>
        </patternFill>
      </fill>
    </dxf>
    <dxf>
      <fill>
        <patternFill>
          <bgColor theme="6" tint="0.79998168889431442"/>
        </patternFill>
      </fill>
    </dxf>
    <dxf>
      <fill>
        <patternFill>
          <bgColor theme="0" tint="-0.499984740745262"/>
        </patternFill>
      </fill>
    </dxf>
  </dxfs>
  <tableStyles count="0" defaultTableStyle="TableStyleMedium2" defaultPivotStyle="PivotStyleLight16"/>
  <colors>
    <mruColors>
      <color rgb="FFFFFF99"/>
      <color rgb="FFFFFFCC"/>
      <color rgb="FFFFFF66"/>
      <color rgb="FF99FFCC"/>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6</xdr:col>
      <xdr:colOff>542192</xdr:colOff>
      <xdr:row>0</xdr:row>
      <xdr:rowOff>36635</xdr:rowOff>
    </xdr:from>
    <xdr:to>
      <xdr:col>7</xdr:col>
      <xdr:colOff>652096</xdr:colOff>
      <xdr:row>1</xdr:row>
      <xdr:rowOff>21982</xdr:rowOff>
    </xdr:to>
    <xdr:sp macro="" textlink="">
      <xdr:nvSpPr>
        <xdr:cNvPr id="2" name="正方形/長方形 1"/>
        <xdr:cNvSpPr/>
      </xdr:nvSpPr>
      <xdr:spPr>
        <a:xfrm>
          <a:off x="5275384" y="36635"/>
          <a:ext cx="798635"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①基本情報</a:t>
          </a:r>
        </a:p>
      </xdr:txBody>
    </xdr:sp>
    <xdr:clientData/>
  </xdr:twoCellAnchor>
  <xdr:twoCellAnchor>
    <xdr:from>
      <xdr:col>6</xdr:col>
      <xdr:colOff>542192</xdr:colOff>
      <xdr:row>0</xdr:row>
      <xdr:rowOff>36635</xdr:rowOff>
    </xdr:from>
    <xdr:to>
      <xdr:col>7</xdr:col>
      <xdr:colOff>652096</xdr:colOff>
      <xdr:row>1</xdr:row>
      <xdr:rowOff>21982</xdr:rowOff>
    </xdr:to>
    <xdr:sp macro="" textlink="">
      <xdr:nvSpPr>
        <xdr:cNvPr id="4" name="正方形/長方形 3"/>
        <xdr:cNvSpPr/>
      </xdr:nvSpPr>
      <xdr:spPr>
        <a:xfrm>
          <a:off x="5275384" y="36635"/>
          <a:ext cx="798635"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①基本情報</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131885</xdr:colOff>
      <xdr:row>0</xdr:row>
      <xdr:rowOff>36635</xdr:rowOff>
    </xdr:from>
    <xdr:to>
      <xdr:col>6</xdr:col>
      <xdr:colOff>930520</xdr:colOff>
      <xdr:row>0</xdr:row>
      <xdr:rowOff>293077</xdr:rowOff>
    </xdr:to>
    <xdr:sp macro="" textlink="">
      <xdr:nvSpPr>
        <xdr:cNvPr id="2" name="正方形/長方形 1"/>
        <xdr:cNvSpPr/>
      </xdr:nvSpPr>
      <xdr:spPr>
        <a:xfrm>
          <a:off x="5282712" y="36635"/>
          <a:ext cx="798635" cy="256442"/>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②児童名簿</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710393</xdr:colOff>
      <xdr:row>0</xdr:row>
      <xdr:rowOff>202287</xdr:rowOff>
    </xdr:from>
    <xdr:to>
      <xdr:col>15</xdr:col>
      <xdr:colOff>538368</xdr:colOff>
      <xdr:row>1</xdr:row>
      <xdr:rowOff>187634</xdr:rowOff>
    </xdr:to>
    <xdr:sp macro="" textlink="">
      <xdr:nvSpPr>
        <xdr:cNvPr id="2" name="正方形/長方形 1"/>
        <xdr:cNvSpPr/>
      </xdr:nvSpPr>
      <xdr:spPr>
        <a:xfrm>
          <a:off x="8371806" y="202287"/>
          <a:ext cx="1351975" cy="291804"/>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③職員名簿</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2623038</xdr:colOff>
      <xdr:row>0</xdr:row>
      <xdr:rowOff>29307</xdr:rowOff>
    </xdr:from>
    <xdr:to>
      <xdr:col>8</xdr:col>
      <xdr:colOff>3194539</xdr:colOff>
      <xdr:row>1</xdr:row>
      <xdr:rowOff>14654</xdr:rowOff>
    </xdr:to>
    <xdr:sp macro="" textlink="">
      <xdr:nvSpPr>
        <xdr:cNvPr id="2" name="正方形/長方形 1"/>
        <xdr:cNvSpPr/>
      </xdr:nvSpPr>
      <xdr:spPr>
        <a:xfrm>
          <a:off x="5671038" y="29307"/>
          <a:ext cx="571501"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chemeClr val="tx1"/>
              </a:solidFill>
            </a:rPr>
            <a:t>④加算</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220446</xdr:colOff>
      <xdr:row>0</xdr:row>
      <xdr:rowOff>29690</xdr:rowOff>
    </xdr:from>
    <xdr:to>
      <xdr:col>15</xdr:col>
      <xdr:colOff>223344</xdr:colOff>
      <xdr:row>1</xdr:row>
      <xdr:rowOff>7327</xdr:rowOff>
    </xdr:to>
    <xdr:sp macro="" textlink="">
      <xdr:nvSpPr>
        <xdr:cNvPr id="2" name="正方形/長方形 1"/>
        <xdr:cNvSpPr/>
      </xdr:nvSpPr>
      <xdr:spPr>
        <a:xfrm>
          <a:off x="5708311" y="29690"/>
          <a:ext cx="691629" cy="28536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⑤集計表</a:t>
          </a:r>
        </a:p>
      </xdr:txBody>
    </xdr:sp>
    <xdr:clientData/>
  </xdr:twoCellAnchor>
  <xdr:twoCellAnchor>
    <xdr:from>
      <xdr:col>13</xdr:col>
      <xdr:colOff>14653</xdr:colOff>
      <xdr:row>18</xdr:row>
      <xdr:rowOff>43961</xdr:rowOff>
    </xdr:from>
    <xdr:to>
      <xdr:col>14</xdr:col>
      <xdr:colOff>293077</xdr:colOff>
      <xdr:row>21</xdr:row>
      <xdr:rowOff>183173</xdr:rowOff>
    </xdr:to>
    <xdr:cxnSp macro="">
      <xdr:nvCxnSpPr>
        <xdr:cNvPr id="5" name="直線矢印コネクタ 4"/>
        <xdr:cNvCxnSpPr/>
      </xdr:nvCxnSpPr>
      <xdr:spPr>
        <a:xfrm flipV="1">
          <a:off x="4813788" y="3978519"/>
          <a:ext cx="967154" cy="337039"/>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21980</xdr:colOff>
      <xdr:row>30</xdr:row>
      <xdr:rowOff>29308</xdr:rowOff>
    </xdr:from>
    <xdr:to>
      <xdr:col>14</xdr:col>
      <xdr:colOff>285750</xdr:colOff>
      <xdr:row>34</xdr:row>
      <xdr:rowOff>7327</xdr:rowOff>
    </xdr:to>
    <xdr:cxnSp macro="">
      <xdr:nvCxnSpPr>
        <xdr:cNvPr id="6" name="直線矢印コネクタ 5"/>
        <xdr:cNvCxnSpPr/>
      </xdr:nvCxnSpPr>
      <xdr:spPr>
        <a:xfrm flipV="1">
          <a:off x="4821115" y="6066693"/>
          <a:ext cx="952500" cy="388326"/>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27</xdr:row>
      <xdr:rowOff>21980</xdr:rowOff>
    </xdr:from>
    <xdr:to>
      <xdr:col>14</xdr:col>
      <xdr:colOff>352246</xdr:colOff>
      <xdr:row>28</xdr:row>
      <xdr:rowOff>190500</xdr:rowOff>
    </xdr:to>
    <xdr:cxnSp macro="">
      <xdr:nvCxnSpPr>
        <xdr:cNvPr id="7" name="直線矢印コネクタ 6"/>
        <xdr:cNvCxnSpPr/>
      </xdr:nvCxnSpPr>
      <xdr:spPr>
        <a:xfrm>
          <a:off x="5840111" y="5436576"/>
          <a:ext cx="0" cy="366347"/>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353684</xdr:colOff>
      <xdr:row>30</xdr:row>
      <xdr:rowOff>14377</xdr:rowOff>
    </xdr:from>
    <xdr:to>
      <xdr:col>14</xdr:col>
      <xdr:colOff>353684</xdr:colOff>
      <xdr:row>33</xdr:row>
      <xdr:rowOff>197826</xdr:rowOff>
    </xdr:to>
    <xdr:cxnSp macro="">
      <xdr:nvCxnSpPr>
        <xdr:cNvPr id="10" name="直線矢印コネクタ 9"/>
        <xdr:cNvCxnSpPr/>
      </xdr:nvCxnSpPr>
      <xdr:spPr>
        <a:xfrm>
          <a:off x="5841549" y="6051762"/>
          <a:ext cx="0" cy="38127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7328</xdr:colOff>
      <xdr:row>37</xdr:row>
      <xdr:rowOff>29308</xdr:rowOff>
    </xdr:from>
    <xdr:to>
      <xdr:col>14</xdr:col>
      <xdr:colOff>29308</xdr:colOff>
      <xdr:row>39</xdr:row>
      <xdr:rowOff>0</xdr:rowOff>
    </xdr:to>
    <xdr:cxnSp macro="">
      <xdr:nvCxnSpPr>
        <xdr:cNvPr id="12" name="直線矢印コネクタ 11"/>
        <xdr:cNvCxnSpPr/>
      </xdr:nvCxnSpPr>
      <xdr:spPr>
        <a:xfrm flipH="1">
          <a:off x="4806463" y="7891096"/>
          <a:ext cx="710710" cy="36634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344338</xdr:colOff>
      <xdr:row>38</xdr:row>
      <xdr:rowOff>8627</xdr:rowOff>
    </xdr:from>
    <xdr:to>
      <xdr:col>12</xdr:col>
      <xdr:colOff>344338</xdr:colOff>
      <xdr:row>38</xdr:row>
      <xdr:rowOff>189781</xdr:rowOff>
    </xdr:to>
    <xdr:cxnSp macro="">
      <xdr:nvCxnSpPr>
        <xdr:cNvPr id="14" name="直線矢印コネクタ 13"/>
        <xdr:cNvCxnSpPr/>
      </xdr:nvCxnSpPr>
      <xdr:spPr>
        <a:xfrm>
          <a:off x="4445480" y="5738004"/>
          <a:ext cx="0" cy="181154"/>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18</xdr:row>
      <xdr:rowOff>21981</xdr:rowOff>
    </xdr:from>
    <xdr:to>
      <xdr:col>14</xdr:col>
      <xdr:colOff>352246</xdr:colOff>
      <xdr:row>22</xdr:row>
      <xdr:rowOff>197827</xdr:rowOff>
    </xdr:to>
    <xdr:cxnSp macro="">
      <xdr:nvCxnSpPr>
        <xdr:cNvPr id="21" name="直線矢印コネクタ 20"/>
        <xdr:cNvCxnSpPr/>
      </xdr:nvCxnSpPr>
      <xdr:spPr>
        <a:xfrm>
          <a:off x="5840111" y="3758712"/>
          <a:ext cx="0" cy="571500"/>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350781</xdr:colOff>
      <xdr:row>24</xdr:row>
      <xdr:rowOff>21981</xdr:rowOff>
    </xdr:from>
    <xdr:to>
      <xdr:col>14</xdr:col>
      <xdr:colOff>350781</xdr:colOff>
      <xdr:row>25</xdr:row>
      <xdr:rowOff>196777</xdr:rowOff>
    </xdr:to>
    <xdr:cxnSp macro="">
      <xdr:nvCxnSpPr>
        <xdr:cNvPr id="24" name="直線矢印コネクタ 23"/>
        <xdr:cNvCxnSpPr/>
      </xdr:nvCxnSpPr>
      <xdr:spPr>
        <a:xfrm>
          <a:off x="5838646" y="4813789"/>
          <a:ext cx="0" cy="372623"/>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27841</xdr:colOff>
      <xdr:row>24</xdr:row>
      <xdr:rowOff>43962</xdr:rowOff>
    </xdr:from>
    <xdr:to>
      <xdr:col>14</xdr:col>
      <xdr:colOff>278423</xdr:colOff>
      <xdr:row>25</xdr:row>
      <xdr:rowOff>196362</xdr:rowOff>
    </xdr:to>
    <xdr:cxnSp macro="">
      <xdr:nvCxnSpPr>
        <xdr:cNvPr id="25" name="直線矢印コネクタ 24"/>
        <xdr:cNvCxnSpPr/>
      </xdr:nvCxnSpPr>
      <xdr:spPr>
        <a:xfrm flipV="1">
          <a:off x="4826976" y="4799135"/>
          <a:ext cx="939312" cy="350227"/>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26376</xdr:colOff>
      <xdr:row>27</xdr:row>
      <xdr:rowOff>43961</xdr:rowOff>
    </xdr:from>
    <xdr:to>
      <xdr:col>14</xdr:col>
      <xdr:colOff>278423</xdr:colOff>
      <xdr:row>28</xdr:row>
      <xdr:rowOff>187570</xdr:rowOff>
    </xdr:to>
    <xdr:cxnSp macro="">
      <xdr:nvCxnSpPr>
        <xdr:cNvPr id="26" name="直線矢印コネクタ 25"/>
        <xdr:cNvCxnSpPr/>
      </xdr:nvCxnSpPr>
      <xdr:spPr>
        <a:xfrm flipV="1">
          <a:off x="4825511" y="5421923"/>
          <a:ext cx="940777" cy="341435"/>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16</xdr:row>
      <xdr:rowOff>21980</xdr:rowOff>
    </xdr:from>
    <xdr:to>
      <xdr:col>12</xdr:col>
      <xdr:colOff>349730</xdr:colOff>
      <xdr:row>16</xdr:row>
      <xdr:rowOff>226138</xdr:rowOff>
    </xdr:to>
    <xdr:cxnSp macro="">
      <xdr:nvCxnSpPr>
        <xdr:cNvPr id="27" name="直線矢印コネクタ 26"/>
        <xdr:cNvCxnSpPr/>
      </xdr:nvCxnSpPr>
      <xdr:spPr>
        <a:xfrm>
          <a:off x="4460134" y="3494942"/>
          <a:ext cx="0" cy="20415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8</xdr:row>
      <xdr:rowOff>14654</xdr:rowOff>
    </xdr:from>
    <xdr:to>
      <xdr:col>14</xdr:col>
      <xdr:colOff>352246</xdr:colOff>
      <xdr:row>16</xdr:row>
      <xdr:rowOff>212480</xdr:rowOff>
    </xdr:to>
    <xdr:cxnSp macro="">
      <xdr:nvCxnSpPr>
        <xdr:cNvPr id="28" name="直線矢印コネクタ 27"/>
        <xdr:cNvCxnSpPr/>
      </xdr:nvCxnSpPr>
      <xdr:spPr>
        <a:xfrm>
          <a:off x="5840111" y="1824404"/>
          <a:ext cx="0" cy="186103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674076</xdr:colOff>
      <xdr:row>8</xdr:row>
      <xdr:rowOff>29308</xdr:rowOff>
    </xdr:from>
    <xdr:to>
      <xdr:col>14</xdr:col>
      <xdr:colOff>285750</xdr:colOff>
      <xdr:row>16</xdr:row>
      <xdr:rowOff>219809</xdr:rowOff>
    </xdr:to>
    <xdr:cxnSp macro="">
      <xdr:nvCxnSpPr>
        <xdr:cNvPr id="30" name="直線矢印コネクタ 29"/>
        <xdr:cNvCxnSpPr/>
      </xdr:nvCxnSpPr>
      <xdr:spPr>
        <a:xfrm flipV="1">
          <a:off x="4784480" y="1839058"/>
          <a:ext cx="989135" cy="1853713"/>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36636</xdr:colOff>
      <xdr:row>30</xdr:row>
      <xdr:rowOff>146539</xdr:rowOff>
    </xdr:from>
    <xdr:to>
      <xdr:col>12</xdr:col>
      <xdr:colOff>65944</xdr:colOff>
      <xdr:row>33</xdr:row>
      <xdr:rowOff>95250</xdr:rowOff>
    </xdr:to>
    <xdr:sp macro="" textlink="">
      <xdr:nvSpPr>
        <xdr:cNvPr id="3" name="テキスト ボックス 2"/>
        <xdr:cNvSpPr txBox="1"/>
      </xdr:nvSpPr>
      <xdr:spPr>
        <a:xfrm>
          <a:off x="2769578" y="6528289"/>
          <a:ext cx="1406770" cy="5348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kumimoji="1" lang="ja-JP" altLang="en-US" sz="800" b="1"/>
            <a:t>基本分単価における　</a:t>
          </a:r>
          <a:endParaRPr kumimoji="1" lang="en-US" altLang="ja-JP" sz="800" b="1"/>
        </a:p>
        <a:p>
          <a:pPr algn="r"/>
          <a:r>
            <a:rPr kumimoji="1" lang="ja-JP" altLang="en-US" sz="800" b="1"/>
            <a:t>必要保育教諭等の数を</a:t>
          </a:r>
        </a:p>
      </xdr:txBody>
    </xdr:sp>
    <xdr:clientData/>
  </xdr:twoCellAnchor>
  <xdr:twoCellAnchor>
    <xdr:from>
      <xdr:col>14</xdr:col>
      <xdr:colOff>352246</xdr:colOff>
      <xdr:row>35</xdr:row>
      <xdr:rowOff>7326</xdr:rowOff>
    </xdr:from>
    <xdr:to>
      <xdr:col>14</xdr:col>
      <xdr:colOff>352246</xdr:colOff>
      <xdr:row>35</xdr:row>
      <xdr:rowOff>205154</xdr:rowOff>
    </xdr:to>
    <xdr:cxnSp macro="">
      <xdr:nvCxnSpPr>
        <xdr:cNvPr id="19" name="直線矢印コネクタ 18"/>
        <xdr:cNvCxnSpPr/>
      </xdr:nvCxnSpPr>
      <xdr:spPr>
        <a:xfrm>
          <a:off x="5840111" y="7444153"/>
          <a:ext cx="0" cy="19782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171450</xdr:colOff>
      <xdr:row>0</xdr:row>
      <xdr:rowOff>381000</xdr:rowOff>
    </xdr:from>
    <xdr:to>
      <xdr:col>6</xdr:col>
      <xdr:colOff>638175</xdr:colOff>
      <xdr:row>2</xdr:row>
      <xdr:rowOff>190500</xdr:rowOff>
    </xdr:to>
    <xdr:sp macro="" textlink="">
      <xdr:nvSpPr>
        <xdr:cNvPr id="2" name="正方形/長方形 1"/>
        <xdr:cNvSpPr/>
      </xdr:nvSpPr>
      <xdr:spPr>
        <a:xfrm>
          <a:off x="4438650" y="381000"/>
          <a:ext cx="1333500" cy="3048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a:solidFill>
                <a:schemeClr val="tx1"/>
              </a:solidFill>
            </a:rPr>
            <a:t>⑥加配職員算定</a:t>
          </a:r>
        </a:p>
      </xdr:txBody>
    </xdr:sp>
    <xdr:clientData/>
  </xdr:twoCellAnchor>
  <xdr:twoCellAnchor>
    <xdr:from>
      <xdr:col>6</xdr:col>
      <xdr:colOff>9525</xdr:colOff>
      <xdr:row>11</xdr:row>
      <xdr:rowOff>123824</xdr:rowOff>
    </xdr:from>
    <xdr:to>
      <xdr:col>6</xdr:col>
      <xdr:colOff>371475</xdr:colOff>
      <xdr:row>14</xdr:row>
      <xdr:rowOff>219074</xdr:rowOff>
    </xdr:to>
    <xdr:sp macro="" textlink="">
      <xdr:nvSpPr>
        <xdr:cNvPr id="3" name="左カーブ矢印 2"/>
        <xdr:cNvSpPr/>
      </xdr:nvSpPr>
      <xdr:spPr>
        <a:xfrm>
          <a:off x="5448300" y="3552824"/>
          <a:ext cx="361950" cy="962025"/>
        </a:xfrm>
        <a:prstGeom prst="curved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171450</xdr:colOff>
      <xdr:row>2</xdr:row>
      <xdr:rowOff>0</xdr:rowOff>
    </xdr:from>
    <xdr:to>
      <xdr:col>12</xdr:col>
      <xdr:colOff>504825</xdr:colOff>
      <xdr:row>19</xdr:row>
      <xdr:rowOff>114300</xdr:rowOff>
    </xdr:to>
    <xdr:grpSp>
      <xdr:nvGrpSpPr>
        <xdr:cNvPr id="4" name="グループ化 3"/>
        <xdr:cNvGrpSpPr/>
      </xdr:nvGrpSpPr>
      <xdr:grpSpPr>
        <a:xfrm>
          <a:off x="171450" y="470647"/>
          <a:ext cx="8536081" cy="4114800"/>
          <a:chOff x="790575" y="333375"/>
          <a:chExt cx="6257925" cy="3609975"/>
        </a:xfrm>
      </xdr:grpSpPr>
      <xdr:sp macro="" textlink="">
        <xdr:nvSpPr>
          <xdr:cNvPr id="2" name="角丸四角形 1"/>
          <xdr:cNvSpPr/>
        </xdr:nvSpPr>
        <xdr:spPr>
          <a:xfrm>
            <a:off x="790575" y="342900"/>
            <a:ext cx="6257925" cy="3600450"/>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 name="テキスト ボックス 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a:t>基本分単価に含まれる職員構成</a:t>
            </a:r>
          </a:p>
        </xdr:txBody>
      </xdr:sp>
    </xdr:grpSp>
    <xdr:clientData/>
  </xdr:twoCellAnchor>
  <xdr:twoCellAnchor>
    <xdr:from>
      <xdr:col>0</xdr:col>
      <xdr:colOff>342900</xdr:colOff>
      <xdr:row>4</xdr:row>
      <xdr:rowOff>19050</xdr:rowOff>
    </xdr:from>
    <xdr:to>
      <xdr:col>8</xdr:col>
      <xdr:colOff>504826</xdr:colOff>
      <xdr:row>18</xdr:row>
      <xdr:rowOff>114300</xdr:rowOff>
    </xdr:to>
    <xdr:grpSp>
      <xdr:nvGrpSpPr>
        <xdr:cNvPr id="5" name="グループ化 4"/>
        <xdr:cNvGrpSpPr/>
      </xdr:nvGrpSpPr>
      <xdr:grpSpPr>
        <a:xfrm>
          <a:off x="342900" y="960344"/>
          <a:ext cx="5630397" cy="3389780"/>
          <a:chOff x="790575" y="333375"/>
          <a:chExt cx="6257925" cy="3609975"/>
        </a:xfrm>
      </xdr:grpSpPr>
      <xdr:sp macro="" textlink="">
        <xdr:nvSpPr>
          <xdr:cNvPr id="6" name="角丸四角形 5"/>
          <xdr:cNvSpPr/>
        </xdr:nvSpPr>
        <xdr:spPr>
          <a:xfrm>
            <a:off x="790575" y="342900"/>
            <a:ext cx="6257925" cy="3600450"/>
          </a:xfrm>
          <a:prstGeom prst="round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（ア）基本分単価における必要保育教諭等</a:t>
            </a:r>
          </a:p>
        </xdr:txBody>
      </xdr:sp>
    </xdr:grpSp>
    <xdr:clientData/>
  </xdr:twoCellAnchor>
  <xdr:twoCellAnchor>
    <xdr:from>
      <xdr:col>8</xdr:col>
      <xdr:colOff>619125</xdr:colOff>
      <xdr:row>4</xdr:row>
      <xdr:rowOff>9525</xdr:rowOff>
    </xdr:from>
    <xdr:to>
      <xdr:col>12</xdr:col>
      <xdr:colOff>314325</xdr:colOff>
      <xdr:row>18</xdr:row>
      <xdr:rowOff>104775</xdr:rowOff>
    </xdr:to>
    <xdr:grpSp>
      <xdr:nvGrpSpPr>
        <xdr:cNvPr id="8" name="グループ化 7"/>
        <xdr:cNvGrpSpPr/>
      </xdr:nvGrpSpPr>
      <xdr:grpSpPr>
        <a:xfrm>
          <a:off x="6087596" y="950819"/>
          <a:ext cx="2429435" cy="3389780"/>
          <a:chOff x="790575" y="333375"/>
          <a:chExt cx="6257925" cy="3609975"/>
        </a:xfrm>
      </xdr:grpSpPr>
      <xdr:sp macro="" textlink="">
        <xdr:nvSpPr>
          <xdr:cNvPr id="9" name="角丸四角形 8"/>
          <xdr:cNvSpPr/>
        </xdr:nvSpPr>
        <xdr:spPr>
          <a:xfrm>
            <a:off x="790575" y="342900"/>
            <a:ext cx="6257925" cy="3600450"/>
          </a:xfrm>
          <a:prstGeom prst="roundRect">
            <a:avLst/>
          </a:prstGeom>
          <a:solidFill>
            <a:schemeClr val="accent2">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（イ）その他</a:t>
            </a:r>
          </a:p>
        </xdr:txBody>
      </xdr:sp>
    </xdr:grpSp>
    <xdr:clientData/>
  </xdr:twoCellAnchor>
  <xdr:twoCellAnchor>
    <xdr:from>
      <xdr:col>0</xdr:col>
      <xdr:colOff>533401</xdr:colOff>
      <xdr:row>5</xdr:row>
      <xdr:rowOff>161926</xdr:rowOff>
    </xdr:from>
    <xdr:to>
      <xdr:col>4</xdr:col>
      <xdr:colOff>342901</xdr:colOff>
      <xdr:row>17</xdr:row>
      <xdr:rowOff>180976</xdr:rowOff>
    </xdr:to>
    <xdr:grpSp>
      <xdr:nvGrpSpPr>
        <xdr:cNvPr id="11" name="グループ化 10"/>
        <xdr:cNvGrpSpPr/>
      </xdr:nvGrpSpPr>
      <xdr:grpSpPr>
        <a:xfrm>
          <a:off x="533401" y="1338544"/>
          <a:ext cx="2543735" cy="2842932"/>
          <a:chOff x="790575" y="333375"/>
          <a:chExt cx="6257925" cy="3609975"/>
        </a:xfrm>
      </xdr:grpSpPr>
      <xdr:sp macro="" textlink="">
        <xdr:nvSpPr>
          <xdr:cNvPr id="12" name="角丸四角形 11"/>
          <xdr:cNvSpPr/>
        </xdr:nvSpPr>
        <xdr:spPr>
          <a:xfrm>
            <a:off x="790575" y="342900"/>
            <a:ext cx="6257925" cy="3600450"/>
          </a:xfrm>
          <a:prstGeom prst="roundRec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ⅰ</a:t>
            </a:r>
            <a:r>
              <a:rPr kumimoji="1" lang="ja-JP" altLang="en-US" sz="1100"/>
              <a:t>　年齢別配置基準</a:t>
            </a:r>
          </a:p>
        </xdr:txBody>
      </xdr:sp>
    </xdr:grpSp>
    <xdr:clientData/>
  </xdr:twoCellAnchor>
  <xdr:twoCellAnchor>
    <xdr:from>
      <xdr:col>4</xdr:col>
      <xdr:colOff>533401</xdr:colOff>
      <xdr:row>5</xdr:row>
      <xdr:rowOff>161926</xdr:rowOff>
    </xdr:from>
    <xdr:to>
      <xdr:col>8</xdr:col>
      <xdr:colOff>342901</xdr:colOff>
      <xdr:row>17</xdr:row>
      <xdr:rowOff>180976</xdr:rowOff>
    </xdr:to>
    <xdr:grpSp>
      <xdr:nvGrpSpPr>
        <xdr:cNvPr id="14" name="グループ化 13"/>
        <xdr:cNvGrpSpPr/>
      </xdr:nvGrpSpPr>
      <xdr:grpSpPr>
        <a:xfrm>
          <a:off x="3267636" y="1338544"/>
          <a:ext cx="2543736" cy="2842932"/>
          <a:chOff x="790575" y="333375"/>
          <a:chExt cx="6257925" cy="3609975"/>
        </a:xfrm>
      </xdr:grpSpPr>
      <xdr:sp macro="" textlink="">
        <xdr:nvSpPr>
          <xdr:cNvPr id="15" name="角丸四角形 14"/>
          <xdr:cNvSpPr/>
        </xdr:nvSpPr>
        <xdr:spPr>
          <a:xfrm>
            <a:off x="790575" y="342900"/>
            <a:ext cx="6257925" cy="3600450"/>
          </a:xfrm>
          <a:prstGeom prst="roundRect">
            <a:avLst/>
          </a:prstGeom>
          <a:solidFill>
            <a:schemeClr val="accent4">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5"/>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ⅱ</a:t>
            </a:r>
            <a:r>
              <a:rPr kumimoji="1" lang="ja-JP" altLang="en-US" sz="1100"/>
              <a:t>　その他</a:t>
            </a:r>
          </a:p>
        </xdr:txBody>
      </xdr:sp>
    </xdr:grpSp>
    <xdr:clientData/>
  </xdr:twoCellAnchor>
  <xdr:twoCellAnchor>
    <xdr:from>
      <xdr:col>9</xdr:col>
      <xdr:colOff>142875</xdr:colOff>
      <xdr:row>6</xdr:row>
      <xdr:rowOff>47625</xdr:rowOff>
    </xdr:from>
    <xdr:to>
      <xdr:col>12</xdr:col>
      <xdr:colOff>152400</xdr:colOff>
      <xdr:row>15</xdr:row>
      <xdr:rowOff>190500</xdr:rowOff>
    </xdr:to>
    <xdr:grpSp>
      <xdr:nvGrpSpPr>
        <xdr:cNvPr id="30" name="グループ化 29"/>
        <xdr:cNvGrpSpPr/>
      </xdr:nvGrpSpPr>
      <xdr:grpSpPr>
        <a:xfrm>
          <a:off x="6294904" y="1459566"/>
          <a:ext cx="2060202" cy="2260787"/>
          <a:chOff x="7124700" y="1247775"/>
          <a:chExt cx="2066925" cy="2286000"/>
        </a:xfrm>
      </xdr:grpSpPr>
      <xdr:sp macro="" textlink="">
        <xdr:nvSpPr>
          <xdr:cNvPr id="17" name="テキスト ボックス 16"/>
          <xdr:cNvSpPr txBox="1"/>
        </xdr:nvSpPr>
        <xdr:spPr>
          <a:xfrm>
            <a:off x="7143751" y="12477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園長</a:t>
            </a:r>
          </a:p>
        </xdr:txBody>
      </xdr:sp>
      <xdr:sp macro="" textlink="">
        <xdr:nvSpPr>
          <xdr:cNvPr id="18" name="テキスト ボックス 17"/>
          <xdr:cNvSpPr txBox="1"/>
        </xdr:nvSpPr>
        <xdr:spPr>
          <a:xfrm>
            <a:off x="7143750" y="168592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調理員等</a:t>
            </a:r>
            <a:r>
              <a:rPr kumimoji="1" lang="en-US" altLang="ja-JP" sz="1100"/>
              <a:t>※2</a:t>
            </a:r>
            <a:endParaRPr kumimoji="1" lang="ja-JP" altLang="en-US" sz="1100"/>
          </a:p>
        </xdr:txBody>
      </xdr:sp>
      <xdr:sp macro="" textlink="">
        <xdr:nvSpPr>
          <xdr:cNvPr id="19" name="テキスト ボックス 18"/>
          <xdr:cNvSpPr txBox="1"/>
        </xdr:nvSpPr>
        <xdr:spPr>
          <a:xfrm>
            <a:off x="7134225" y="22002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非常勤事務職員</a:t>
            </a:r>
            <a:r>
              <a:rPr kumimoji="1" lang="en-US" altLang="ja-JP" sz="1100"/>
              <a:t>※3</a:t>
            </a:r>
            <a:endParaRPr kumimoji="1" lang="ja-JP" altLang="en-US" sz="1100"/>
          </a:p>
        </xdr:txBody>
      </xdr:sp>
      <xdr:sp macro="" textlink="">
        <xdr:nvSpPr>
          <xdr:cNvPr id="20" name="テキスト ボックス 19"/>
          <xdr:cNvSpPr txBox="1"/>
        </xdr:nvSpPr>
        <xdr:spPr>
          <a:xfrm>
            <a:off x="7124700" y="2705100"/>
            <a:ext cx="2047874" cy="82867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嘱託医</a:t>
            </a:r>
            <a:endParaRPr kumimoji="1" lang="en-US" altLang="ja-JP" sz="1100"/>
          </a:p>
          <a:p>
            <a:pPr algn="ctr"/>
            <a:r>
              <a:rPr kumimoji="1" lang="ja-JP" altLang="en-US" sz="1100"/>
              <a:t>嘱託歯科医</a:t>
            </a:r>
            <a:endParaRPr kumimoji="1" lang="en-US" altLang="ja-JP" sz="1100"/>
          </a:p>
          <a:p>
            <a:pPr algn="ctr"/>
            <a:r>
              <a:rPr kumimoji="1" lang="ja-JP" altLang="en-US" sz="1100"/>
              <a:t>嘱託薬剤師</a:t>
            </a:r>
            <a:endParaRPr kumimoji="1" lang="en-US" altLang="ja-JP" sz="1100"/>
          </a:p>
        </xdr:txBody>
      </xdr:sp>
    </xdr:grpSp>
    <xdr:clientData/>
  </xdr:twoCellAnchor>
  <xdr:twoCellAnchor>
    <xdr:from>
      <xdr:col>5</xdr:col>
      <xdr:colOff>95251</xdr:colOff>
      <xdr:row>7</xdr:row>
      <xdr:rowOff>104775</xdr:rowOff>
    </xdr:from>
    <xdr:to>
      <xdr:col>8</xdr:col>
      <xdr:colOff>95250</xdr:colOff>
      <xdr:row>13</xdr:row>
      <xdr:rowOff>161925</xdr:rowOff>
    </xdr:to>
    <xdr:grpSp>
      <xdr:nvGrpSpPr>
        <xdr:cNvPr id="29" name="グループ化 28"/>
        <xdr:cNvGrpSpPr/>
      </xdr:nvGrpSpPr>
      <xdr:grpSpPr>
        <a:xfrm>
          <a:off x="3513045" y="1752040"/>
          <a:ext cx="2050676" cy="1469091"/>
          <a:chOff x="4029076" y="1476375"/>
          <a:chExt cx="2057399" cy="1485900"/>
        </a:xfrm>
      </xdr:grpSpPr>
      <xdr:sp macro="" textlink="">
        <xdr:nvSpPr>
          <xdr:cNvPr id="23" name="テキスト ボックス 22"/>
          <xdr:cNvSpPr txBox="1"/>
        </xdr:nvSpPr>
        <xdr:spPr>
          <a:xfrm>
            <a:off x="4029076" y="1476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主幹専任化代替職員①</a:t>
            </a:r>
          </a:p>
        </xdr:txBody>
      </xdr:sp>
      <xdr:sp macro="" textlink="">
        <xdr:nvSpPr>
          <xdr:cNvPr id="24" name="テキスト ボックス 23"/>
          <xdr:cNvSpPr txBox="1"/>
        </xdr:nvSpPr>
        <xdr:spPr>
          <a:xfrm>
            <a:off x="4038601" y="1857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主幹専任化代替職員②</a:t>
            </a:r>
          </a:p>
        </xdr:txBody>
      </xdr:sp>
      <xdr:sp macro="" textlink="">
        <xdr:nvSpPr>
          <xdr:cNvPr id="25" name="テキスト ボックス 24"/>
          <xdr:cNvSpPr txBox="1"/>
        </xdr:nvSpPr>
        <xdr:spPr>
          <a:xfrm>
            <a:off x="4038601" y="2266950"/>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休けい保育教諭</a:t>
            </a:r>
            <a:r>
              <a:rPr kumimoji="1" lang="en-US" altLang="ja-JP" sz="1100"/>
              <a:t>※1</a:t>
            </a:r>
            <a:endParaRPr kumimoji="1" lang="ja-JP" altLang="en-US" sz="1100"/>
          </a:p>
        </xdr:txBody>
      </xdr:sp>
      <xdr:sp macro="" textlink="">
        <xdr:nvSpPr>
          <xdr:cNvPr id="26" name="テキスト ボックス 25"/>
          <xdr:cNvSpPr txBox="1"/>
        </xdr:nvSpPr>
        <xdr:spPr>
          <a:xfrm>
            <a:off x="4038600" y="2686050"/>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保育標準時間対応</a:t>
            </a:r>
          </a:p>
        </xdr:txBody>
      </xdr:sp>
    </xdr:grpSp>
    <xdr:clientData/>
  </xdr:twoCellAnchor>
  <xdr:twoCellAnchor>
    <xdr:from>
      <xdr:col>1</xdr:col>
      <xdr:colOff>76200</xdr:colOff>
      <xdr:row>7</xdr:row>
      <xdr:rowOff>114300</xdr:rowOff>
    </xdr:from>
    <xdr:to>
      <xdr:col>4</xdr:col>
      <xdr:colOff>76200</xdr:colOff>
      <xdr:row>16</xdr:row>
      <xdr:rowOff>180975</xdr:rowOff>
    </xdr:to>
    <xdr:grpSp>
      <xdr:nvGrpSpPr>
        <xdr:cNvPr id="28" name="グループ化 27"/>
        <xdr:cNvGrpSpPr/>
      </xdr:nvGrpSpPr>
      <xdr:grpSpPr>
        <a:xfrm>
          <a:off x="759759" y="1761565"/>
          <a:ext cx="2050676" cy="2184586"/>
          <a:chOff x="1238250" y="1476375"/>
          <a:chExt cx="2057400" cy="2209800"/>
        </a:xfrm>
      </xdr:grpSpPr>
      <xdr:sp macro="" textlink="">
        <xdr:nvSpPr>
          <xdr:cNvPr id="21" name="テキスト ボックス 20"/>
          <xdr:cNvSpPr txBox="1"/>
        </xdr:nvSpPr>
        <xdr:spPr>
          <a:xfrm>
            <a:off x="1247776" y="1476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主幹保育教諭①</a:t>
            </a:r>
          </a:p>
        </xdr:txBody>
      </xdr:sp>
      <xdr:sp macro="" textlink="">
        <xdr:nvSpPr>
          <xdr:cNvPr id="22" name="テキスト ボックス 21"/>
          <xdr:cNvSpPr txBox="1"/>
        </xdr:nvSpPr>
        <xdr:spPr>
          <a:xfrm>
            <a:off x="1247776" y="1857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主幹保育教諭②</a:t>
            </a:r>
          </a:p>
        </xdr:txBody>
      </xdr:sp>
      <xdr:sp macro="" textlink="">
        <xdr:nvSpPr>
          <xdr:cNvPr id="27" name="テキスト ボックス 26"/>
          <xdr:cNvSpPr txBox="1"/>
        </xdr:nvSpPr>
        <xdr:spPr>
          <a:xfrm>
            <a:off x="1238250" y="2276475"/>
            <a:ext cx="2047874" cy="1409700"/>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その他保育教諭</a:t>
            </a:r>
            <a:endParaRPr kumimoji="1" lang="en-US" altLang="ja-JP" sz="1100"/>
          </a:p>
          <a:p>
            <a:pPr algn="l"/>
            <a:r>
              <a:rPr kumimoji="1" lang="ja-JP" altLang="en-US" sz="1100"/>
              <a:t>　・副主幹保育教諭</a:t>
            </a:r>
            <a:endParaRPr kumimoji="1" lang="en-US" altLang="ja-JP" sz="1100"/>
          </a:p>
          <a:p>
            <a:pPr algn="l"/>
            <a:r>
              <a:rPr kumimoji="1" lang="ja-JP" altLang="en-US" sz="1100"/>
              <a:t>　・専門リーダー</a:t>
            </a:r>
            <a:endParaRPr kumimoji="1" lang="en-US" altLang="ja-JP" sz="1100"/>
          </a:p>
          <a:p>
            <a:pPr algn="l"/>
            <a:r>
              <a:rPr kumimoji="1" lang="ja-JP" altLang="en-US" sz="1100"/>
              <a:t>　・職務分野別リーダー</a:t>
            </a:r>
            <a:endParaRPr kumimoji="1" lang="en-US" altLang="ja-JP" sz="1100"/>
          </a:p>
          <a:p>
            <a:pPr algn="l"/>
            <a:r>
              <a:rPr kumimoji="1" lang="ja-JP" altLang="en-US" sz="1100"/>
              <a:t>　・一般保育教諭等</a:t>
            </a:r>
            <a:endParaRPr kumimoji="1" lang="en-US" altLang="ja-JP" sz="1100"/>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14</xdr:col>
      <xdr:colOff>347382</xdr:colOff>
      <xdr:row>1</xdr:row>
      <xdr:rowOff>51547</xdr:rowOff>
    </xdr:from>
    <xdr:to>
      <xdr:col>19</xdr:col>
      <xdr:colOff>437029</xdr:colOff>
      <xdr:row>55</xdr:row>
      <xdr:rowOff>163285</xdr:rowOff>
    </xdr:to>
    <xdr:sp macro="" textlink="">
      <xdr:nvSpPr>
        <xdr:cNvPr id="2" name="角丸四角形 1"/>
        <xdr:cNvSpPr/>
      </xdr:nvSpPr>
      <xdr:spPr>
        <a:xfrm>
          <a:off x="9948582" y="289672"/>
          <a:ext cx="3509122" cy="12970488"/>
        </a:xfrm>
        <a:prstGeom prst="roundRect">
          <a:avLst/>
        </a:prstGeom>
        <a:solidFill>
          <a:srgbClr val="99FF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582705</xdr:colOff>
      <xdr:row>1</xdr:row>
      <xdr:rowOff>56030</xdr:rowOff>
    </xdr:from>
    <xdr:to>
      <xdr:col>13</xdr:col>
      <xdr:colOff>661146</xdr:colOff>
      <xdr:row>55</xdr:row>
      <xdr:rowOff>167768</xdr:rowOff>
    </xdr:to>
    <xdr:sp macro="" textlink="">
      <xdr:nvSpPr>
        <xdr:cNvPr id="3" name="角丸四角形 2"/>
        <xdr:cNvSpPr/>
      </xdr:nvSpPr>
      <xdr:spPr>
        <a:xfrm>
          <a:off x="6069105" y="294155"/>
          <a:ext cx="3507441" cy="12970488"/>
        </a:xfrm>
        <a:prstGeom prst="roundRect">
          <a:avLst/>
        </a:prstGeom>
        <a:solidFill>
          <a:srgbClr val="99FF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268942</xdr:colOff>
      <xdr:row>7</xdr:row>
      <xdr:rowOff>89647</xdr:rowOff>
    </xdr:from>
    <xdr:to>
      <xdr:col>22</xdr:col>
      <xdr:colOff>54429</xdr:colOff>
      <xdr:row>11</xdr:row>
      <xdr:rowOff>100853</xdr:rowOff>
    </xdr:to>
    <xdr:sp macro="" textlink="">
      <xdr:nvSpPr>
        <xdr:cNvPr id="4" name="角丸四角形 3"/>
        <xdr:cNvSpPr/>
      </xdr:nvSpPr>
      <xdr:spPr>
        <a:xfrm flipV="1">
          <a:off x="2326342" y="1756522"/>
          <a:ext cx="12806162" cy="963706"/>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257736</xdr:colOff>
      <xdr:row>2</xdr:row>
      <xdr:rowOff>123264</xdr:rowOff>
    </xdr:from>
    <xdr:to>
      <xdr:col>22</xdr:col>
      <xdr:colOff>54428</xdr:colOff>
      <xdr:row>5</xdr:row>
      <xdr:rowOff>212912</xdr:rowOff>
    </xdr:to>
    <xdr:sp macro="" textlink="">
      <xdr:nvSpPr>
        <xdr:cNvPr id="5" name="角丸四角形 4"/>
        <xdr:cNvSpPr/>
      </xdr:nvSpPr>
      <xdr:spPr>
        <a:xfrm flipV="1">
          <a:off x="257736" y="599514"/>
          <a:ext cx="14874767" cy="804023"/>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183046</xdr:colOff>
      <xdr:row>42</xdr:row>
      <xdr:rowOff>160361</xdr:rowOff>
    </xdr:from>
    <xdr:to>
      <xdr:col>15</xdr:col>
      <xdr:colOff>170843</xdr:colOff>
      <xdr:row>42</xdr:row>
      <xdr:rowOff>165124</xdr:rowOff>
    </xdr:to>
    <xdr:cxnSp macro="">
      <xdr:nvCxnSpPr>
        <xdr:cNvPr id="6" name="カギ線コネクタ 422"/>
        <xdr:cNvCxnSpPr>
          <a:stCxn id="21" idx="3"/>
          <a:endCxn id="58" idx="1"/>
        </xdr:cNvCxnSpPr>
      </xdr:nvCxnSpPr>
      <xdr:spPr>
        <a:xfrm flipV="1">
          <a:off x="9098446" y="10161611"/>
          <a:ext cx="1349872" cy="4763"/>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231323</xdr:colOff>
      <xdr:row>3</xdr:row>
      <xdr:rowOff>101752</xdr:rowOff>
    </xdr:from>
    <xdr:to>
      <xdr:col>13</xdr:col>
      <xdr:colOff>315312</xdr:colOff>
      <xdr:row>4</xdr:row>
      <xdr:rowOff>229915</xdr:rowOff>
    </xdr:to>
    <xdr:sp macro="" textlink="">
      <xdr:nvSpPr>
        <xdr:cNvPr id="7" name="正方形/長方形 6"/>
        <xdr:cNvSpPr/>
      </xdr:nvSpPr>
      <xdr:spPr>
        <a:xfrm>
          <a:off x="6403523" y="816127"/>
          <a:ext cx="2827189" cy="366288"/>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主幹保育教諭（１号）の配置</a:t>
          </a:r>
        </a:p>
      </xdr:txBody>
    </xdr:sp>
    <xdr:clientData/>
  </xdr:twoCellAnchor>
  <xdr:twoCellAnchor>
    <xdr:from>
      <xdr:col>15</xdr:col>
      <xdr:colOff>6854</xdr:colOff>
      <xdr:row>3</xdr:row>
      <xdr:rowOff>100785</xdr:rowOff>
    </xdr:from>
    <xdr:to>
      <xdr:col>19</xdr:col>
      <xdr:colOff>85395</xdr:colOff>
      <xdr:row>4</xdr:row>
      <xdr:rowOff>230572</xdr:rowOff>
    </xdr:to>
    <xdr:sp macro="" textlink="">
      <xdr:nvSpPr>
        <xdr:cNvPr id="8" name="正方形/長方形 7"/>
        <xdr:cNvSpPr/>
      </xdr:nvSpPr>
      <xdr:spPr>
        <a:xfrm>
          <a:off x="10284329" y="815160"/>
          <a:ext cx="2821741" cy="367912"/>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主幹保育教諭（２・３号）の配置</a:t>
          </a:r>
        </a:p>
      </xdr:txBody>
    </xdr:sp>
    <xdr:clientData/>
  </xdr:twoCellAnchor>
  <xdr:twoCellAnchor>
    <xdr:from>
      <xdr:col>9</xdr:col>
      <xdr:colOff>230902</xdr:colOff>
      <xdr:row>8</xdr:row>
      <xdr:rowOff>36411</xdr:rowOff>
    </xdr:from>
    <xdr:to>
      <xdr:col>13</xdr:col>
      <xdr:colOff>313211</xdr:colOff>
      <xdr:row>10</xdr:row>
      <xdr:rowOff>235062</xdr:rowOff>
    </xdr:to>
    <xdr:sp macro="" textlink="">
      <xdr:nvSpPr>
        <xdr:cNvPr id="9" name="正方形/長方形 8"/>
        <xdr:cNvSpPr/>
      </xdr:nvSpPr>
      <xdr:spPr>
        <a:xfrm>
          <a:off x="6403102" y="1941411"/>
          <a:ext cx="2825509" cy="674901"/>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主幹（１号）専任化のための</a:t>
          </a:r>
          <a:endParaRPr kumimoji="1" lang="en-US" altLang="ja-JP" sz="1200">
            <a:solidFill>
              <a:schemeClr val="tx1"/>
            </a:solidFill>
          </a:endParaRPr>
        </a:p>
        <a:p>
          <a:pPr algn="ctr"/>
          <a:r>
            <a:rPr kumimoji="1" lang="ja-JP" altLang="en-US" sz="1200">
              <a:solidFill>
                <a:schemeClr val="tx1"/>
              </a:solidFill>
            </a:rPr>
            <a:t>代替保育教諭の配置（非常勤可）</a:t>
          </a:r>
        </a:p>
      </xdr:txBody>
    </xdr:sp>
    <xdr:clientData/>
  </xdr:twoCellAnchor>
  <xdr:twoCellAnchor>
    <xdr:from>
      <xdr:col>15</xdr:col>
      <xdr:colOff>4074</xdr:colOff>
      <xdr:row>8</xdr:row>
      <xdr:rowOff>27214</xdr:rowOff>
    </xdr:from>
    <xdr:to>
      <xdr:col>19</xdr:col>
      <xdr:colOff>86383</xdr:colOff>
      <xdr:row>10</xdr:row>
      <xdr:rowOff>224586</xdr:rowOff>
    </xdr:to>
    <xdr:sp macro="" textlink="">
      <xdr:nvSpPr>
        <xdr:cNvPr id="10" name="正方形/長方形 9"/>
        <xdr:cNvSpPr/>
      </xdr:nvSpPr>
      <xdr:spPr>
        <a:xfrm>
          <a:off x="10281549" y="1932214"/>
          <a:ext cx="2825509" cy="673622"/>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主幹（２・３号）専任化のための</a:t>
          </a:r>
          <a:endParaRPr kumimoji="1" lang="en-US" altLang="ja-JP" sz="1200">
            <a:solidFill>
              <a:schemeClr val="tx1"/>
            </a:solidFill>
          </a:endParaRPr>
        </a:p>
        <a:p>
          <a:pPr algn="ctr"/>
          <a:r>
            <a:rPr kumimoji="1" lang="ja-JP" altLang="en-US" sz="1200">
              <a:solidFill>
                <a:schemeClr val="tx1"/>
              </a:solidFill>
            </a:rPr>
            <a:t>代替保育教諭の配置</a:t>
          </a:r>
        </a:p>
      </xdr:txBody>
    </xdr:sp>
    <xdr:clientData/>
  </xdr:twoCellAnchor>
  <xdr:twoCellAnchor>
    <xdr:from>
      <xdr:col>17</xdr:col>
      <xdr:colOff>45229</xdr:colOff>
      <xdr:row>10</xdr:row>
      <xdr:rowOff>224586</xdr:rowOff>
    </xdr:from>
    <xdr:to>
      <xdr:col>17</xdr:col>
      <xdr:colOff>51150</xdr:colOff>
      <xdr:row>14</xdr:row>
      <xdr:rowOff>11011</xdr:rowOff>
    </xdr:to>
    <xdr:cxnSp macro="">
      <xdr:nvCxnSpPr>
        <xdr:cNvPr id="11" name="カギ線コネクタ 23"/>
        <xdr:cNvCxnSpPr>
          <a:stCxn id="10" idx="2"/>
          <a:endCxn id="73" idx="0"/>
        </xdr:cNvCxnSpPr>
      </xdr:nvCxnSpPr>
      <xdr:spPr>
        <a:xfrm>
          <a:off x="11694304" y="2605836"/>
          <a:ext cx="5921" cy="738925"/>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272056</xdr:colOff>
      <xdr:row>10</xdr:row>
      <xdr:rowOff>235062</xdr:rowOff>
    </xdr:from>
    <xdr:to>
      <xdr:col>11</xdr:col>
      <xdr:colOff>275609</xdr:colOff>
      <xdr:row>14</xdr:row>
      <xdr:rowOff>12477</xdr:rowOff>
    </xdr:to>
    <xdr:cxnSp macro="">
      <xdr:nvCxnSpPr>
        <xdr:cNvPr id="12" name="カギ線コネクタ 24"/>
        <xdr:cNvCxnSpPr>
          <a:stCxn id="9" idx="2"/>
          <a:endCxn id="70" idx="0"/>
        </xdr:cNvCxnSpPr>
      </xdr:nvCxnSpPr>
      <xdr:spPr>
        <a:xfrm>
          <a:off x="7815856" y="2616312"/>
          <a:ext cx="3553" cy="729915"/>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45229</xdr:colOff>
      <xdr:row>4</xdr:row>
      <xdr:rowOff>230572</xdr:rowOff>
    </xdr:from>
    <xdr:to>
      <xdr:col>17</xdr:col>
      <xdr:colOff>46125</xdr:colOff>
      <xdr:row>8</xdr:row>
      <xdr:rowOff>27214</xdr:rowOff>
    </xdr:to>
    <xdr:cxnSp macro="">
      <xdr:nvCxnSpPr>
        <xdr:cNvPr id="13" name="カギ線コネクタ 25"/>
        <xdr:cNvCxnSpPr>
          <a:stCxn id="8" idx="2"/>
          <a:endCxn id="10" idx="0"/>
        </xdr:cNvCxnSpPr>
      </xdr:nvCxnSpPr>
      <xdr:spPr>
        <a:xfrm flipH="1">
          <a:off x="11694304" y="1183072"/>
          <a:ext cx="896" cy="749142"/>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281519</xdr:colOff>
      <xdr:row>21</xdr:row>
      <xdr:rowOff>122754</xdr:rowOff>
    </xdr:from>
    <xdr:to>
      <xdr:col>11</xdr:col>
      <xdr:colOff>284688</xdr:colOff>
      <xdr:row>24</xdr:row>
      <xdr:rowOff>10182</xdr:rowOff>
    </xdr:to>
    <xdr:cxnSp macro="">
      <xdr:nvCxnSpPr>
        <xdr:cNvPr id="14" name="カギ線コネクタ 26"/>
        <xdr:cNvCxnSpPr>
          <a:stCxn id="71" idx="2"/>
          <a:endCxn id="15" idx="0"/>
        </xdr:cNvCxnSpPr>
      </xdr:nvCxnSpPr>
      <xdr:spPr>
        <a:xfrm>
          <a:off x="7825319" y="5123379"/>
          <a:ext cx="3169" cy="601803"/>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23994</xdr:colOff>
      <xdr:row>24</xdr:row>
      <xdr:rowOff>10182</xdr:rowOff>
    </xdr:from>
    <xdr:to>
      <xdr:col>13</xdr:col>
      <xdr:colOff>545381</xdr:colOff>
      <xdr:row>27</xdr:row>
      <xdr:rowOff>3843</xdr:rowOff>
    </xdr:to>
    <xdr:sp macro="" textlink="">
      <xdr:nvSpPr>
        <xdr:cNvPr id="15" name="正方形/長方形 14"/>
        <xdr:cNvSpPr/>
      </xdr:nvSpPr>
      <xdr:spPr>
        <a:xfrm>
          <a:off x="6196194" y="5725182"/>
          <a:ext cx="3264587" cy="708036"/>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主幹教諭等の専任化により子育て支援の取組みを実施している（１号）</a:t>
          </a:r>
        </a:p>
      </xdr:txBody>
    </xdr:sp>
    <xdr:clientData/>
  </xdr:twoCellAnchor>
  <xdr:twoCellAnchor>
    <xdr:from>
      <xdr:col>17</xdr:col>
      <xdr:colOff>45592</xdr:colOff>
      <xdr:row>21</xdr:row>
      <xdr:rowOff>121288</xdr:rowOff>
    </xdr:from>
    <xdr:to>
      <xdr:col>17</xdr:col>
      <xdr:colOff>48904</xdr:colOff>
      <xdr:row>24</xdr:row>
      <xdr:rowOff>15591</xdr:rowOff>
    </xdr:to>
    <xdr:cxnSp macro="">
      <xdr:nvCxnSpPr>
        <xdr:cNvPr id="16" name="カギ線コネクタ 28"/>
        <xdr:cNvCxnSpPr>
          <a:stCxn id="74" idx="2"/>
          <a:endCxn id="61" idx="0"/>
        </xdr:cNvCxnSpPr>
      </xdr:nvCxnSpPr>
      <xdr:spPr>
        <a:xfrm>
          <a:off x="11694667" y="5121913"/>
          <a:ext cx="3312" cy="60867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29889</xdr:colOff>
      <xdr:row>22</xdr:row>
      <xdr:rowOff>234840</xdr:rowOff>
    </xdr:from>
    <xdr:to>
      <xdr:col>18</xdr:col>
      <xdr:colOff>312355</xdr:colOff>
      <xdr:row>23</xdr:row>
      <xdr:rowOff>212527</xdr:rowOff>
    </xdr:to>
    <xdr:sp macro="" textlink="">
      <xdr:nvSpPr>
        <xdr:cNvPr id="17" name="正方形/長方形 16"/>
        <xdr:cNvSpPr/>
      </xdr:nvSpPr>
      <xdr:spPr>
        <a:xfrm>
          <a:off x="11678964" y="5473590"/>
          <a:ext cx="968266" cy="21581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２つ以上実施</a:t>
          </a:r>
        </a:p>
      </xdr:txBody>
    </xdr:sp>
    <xdr:clientData/>
  </xdr:twoCellAnchor>
  <xdr:twoCellAnchor>
    <xdr:from>
      <xdr:col>11</xdr:col>
      <xdr:colOff>259147</xdr:colOff>
      <xdr:row>22</xdr:row>
      <xdr:rowOff>207579</xdr:rowOff>
    </xdr:from>
    <xdr:to>
      <xdr:col>12</xdr:col>
      <xdr:colOff>541612</xdr:colOff>
      <xdr:row>23</xdr:row>
      <xdr:rowOff>185266</xdr:rowOff>
    </xdr:to>
    <xdr:sp macro="" textlink="">
      <xdr:nvSpPr>
        <xdr:cNvPr id="18" name="正方形/長方形 17"/>
        <xdr:cNvSpPr/>
      </xdr:nvSpPr>
      <xdr:spPr>
        <a:xfrm>
          <a:off x="7802947" y="5446329"/>
          <a:ext cx="968265" cy="21581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２つ以上実施</a:t>
          </a:r>
        </a:p>
      </xdr:txBody>
    </xdr:sp>
    <xdr:clientData/>
  </xdr:twoCellAnchor>
  <xdr:twoCellAnchor>
    <xdr:from>
      <xdr:col>9</xdr:col>
      <xdr:colOff>374293</xdr:colOff>
      <xdr:row>33</xdr:row>
      <xdr:rowOff>202871</xdr:rowOff>
    </xdr:from>
    <xdr:to>
      <xdr:col>13</xdr:col>
      <xdr:colOff>172864</xdr:colOff>
      <xdr:row>35</xdr:row>
      <xdr:rowOff>130480</xdr:rowOff>
    </xdr:to>
    <xdr:sp macro="" textlink="">
      <xdr:nvSpPr>
        <xdr:cNvPr id="19" name="正方形/長方形 18"/>
        <xdr:cNvSpPr/>
      </xdr:nvSpPr>
      <xdr:spPr>
        <a:xfrm>
          <a:off x="6546493" y="8060996"/>
          <a:ext cx="2541771" cy="403859"/>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３歳児配置改善加算</a:t>
          </a:r>
        </a:p>
      </xdr:txBody>
    </xdr:sp>
    <xdr:clientData/>
  </xdr:twoCellAnchor>
  <xdr:twoCellAnchor>
    <xdr:from>
      <xdr:col>9</xdr:col>
      <xdr:colOff>374950</xdr:colOff>
      <xdr:row>37</xdr:row>
      <xdr:rowOff>149832</xdr:rowOff>
    </xdr:from>
    <xdr:to>
      <xdr:col>13</xdr:col>
      <xdr:colOff>173521</xdr:colOff>
      <xdr:row>39</xdr:row>
      <xdr:rowOff>19975</xdr:rowOff>
    </xdr:to>
    <xdr:sp macro="" textlink="">
      <xdr:nvSpPr>
        <xdr:cNvPr id="20" name="正方形/長方形 19"/>
        <xdr:cNvSpPr/>
      </xdr:nvSpPr>
      <xdr:spPr>
        <a:xfrm>
          <a:off x="6547150" y="8960457"/>
          <a:ext cx="2541771" cy="34639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満３歳児対応加配加算</a:t>
          </a:r>
        </a:p>
      </xdr:txBody>
    </xdr:sp>
    <xdr:clientData/>
  </xdr:twoCellAnchor>
  <xdr:twoCellAnchor>
    <xdr:from>
      <xdr:col>9</xdr:col>
      <xdr:colOff>384475</xdr:colOff>
      <xdr:row>41</xdr:row>
      <xdr:rowOff>225289</xdr:rowOff>
    </xdr:from>
    <xdr:to>
      <xdr:col>13</xdr:col>
      <xdr:colOff>183046</xdr:colOff>
      <xdr:row>43</xdr:row>
      <xdr:rowOff>104957</xdr:rowOff>
    </xdr:to>
    <xdr:sp macro="" textlink="">
      <xdr:nvSpPr>
        <xdr:cNvPr id="21" name="正方形/長方形 20"/>
        <xdr:cNvSpPr/>
      </xdr:nvSpPr>
      <xdr:spPr>
        <a:xfrm>
          <a:off x="6556675" y="9988414"/>
          <a:ext cx="2541771" cy="355918"/>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チーム保育加配加算</a:t>
          </a:r>
        </a:p>
      </xdr:txBody>
    </xdr:sp>
    <xdr:clientData/>
  </xdr:twoCellAnchor>
  <xdr:twoCellAnchor>
    <xdr:from>
      <xdr:col>20</xdr:col>
      <xdr:colOff>110377</xdr:colOff>
      <xdr:row>24</xdr:row>
      <xdr:rowOff>63244</xdr:rowOff>
    </xdr:from>
    <xdr:to>
      <xdr:col>24</xdr:col>
      <xdr:colOff>192695</xdr:colOff>
      <xdr:row>26</xdr:row>
      <xdr:rowOff>231321</xdr:rowOff>
    </xdr:to>
    <xdr:sp macro="" textlink="">
      <xdr:nvSpPr>
        <xdr:cNvPr id="22" name="正方形/長方形 21"/>
        <xdr:cNvSpPr/>
      </xdr:nvSpPr>
      <xdr:spPr>
        <a:xfrm>
          <a:off x="13816852" y="5778244"/>
          <a:ext cx="2825518" cy="644327"/>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療育支援のために主幹保育教諭等を補助する職員の配置</a:t>
          </a:r>
        </a:p>
      </xdr:txBody>
    </xdr:sp>
    <xdr:clientData/>
  </xdr:twoCellAnchor>
  <xdr:twoCellAnchor>
    <xdr:from>
      <xdr:col>9</xdr:col>
      <xdr:colOff>374950</xdr:colOff>
      <xdr:row>32</xdr:row>
      <xdr:rowOff>15403</xdr:rowOff>
    </xdr:from>
    <xdr:to>
      <xdr:col>13</xdr:col>
      <xdr:colOff>173521</xdr:colOff>
      <xdr:row>33</xdr:row>
      <xdr:rowOff>128000</xdr:rowOff>
    </xdr:to>
    <xdr:sp macro="" textlink="">
      <xdr:nvSpPr>
        <xdr:cNvPr id="23" name="正方形/長方形 22"/>
        <xdr:cNvSpPr/>
      </xdr:nvSpPr>
      <xdr:spPr>
        <a:xfrm>
          <a:off x="6547150" y="7635403"/>
          <a:ext cx="2541771" cy="350722"/>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学級編成調整加配加算</a:t>
          </a:r>
        </a:p>
      </xdr:txBody>
    </xdr:sp>
    <xdr:clientData/>
  </xdr:twoCellAnchor>
  <xdr:twoCellAnchor>
    <xdr:from>
      <xdr:col>9</xdr:col>
      <xdr:colOff>385436</xdr:colOff>
      <xdr:row>29</xdr:row>
      <xdr:rowOff>154935</xdr:rowOff>
    </xdr:from>
    <xdr:to>
      <xdr:col>13</xdr:col>
      <xdr:colOff>184007</xdr:colOff>
      <xdr:row>31</xdr:row>
      <xdr:rowOff>25078</xdr:rowOff>
    </xdr:to>
    <xdr:sp macro="" textlink="">
      <xdr:nvSpPr>
        <xdr:cNvPr id="24" name="正方形/長方形 23"/>
        <xdr:cNvSpPr/>
      </xdr:nvSpPr>
      <xdr:spPr>
        <a:xfrm>
          <a:off x="6557636" y="7060560"/>
          <a:ext cx="2541771" cy="34639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療育支援加算</a:t>
          </a:r>
        </a:p>
      </xdr:txBody>
    </xdr:sp>
    <xdr:clientData/>
  </xdr:twoCellAnchor>
  <xdr:twoCellAnchor>
    <xdr:from>
      <xdr:col>11</xdr:col>
      <xdr:colOff>272056</xdr:colOff>
      <xdr:row>4</xdr:row>
      <xdr:rowOff>229915</xdr:rowOff>
    </xdr:from>
    <xdr:to>
      <xdr:col>11</xdr:col>
      <xdr:colOff>273317</xdr:colOff>
      <xdr:row>8</xdr:row>
      <xdr:rowOff>36411</xdr:rowOff>
    </xdr:to>
    <xdr:cxnSp macro="">
      <xdr:nvCxnSpPr>
        <xdr:cNvPr id="25" name="カギ線コネクタ 39"/>
        <xdr:cNvCxnSpPr>
          <a:stCxn id="7" idx="2"/>
          <a:endCxn id="9" idx="0"/>
        </xdr:cNvCxnSpPr>
      </xdr:nvCxnSpPr>
      <xdr:spPr>
        <a:xfrm flipH="1">
          <a:off x="7815856" y="1182415"/>
          <a:ext cx="1261" cy="75899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284721</xdr:colOff>
      <xdr:row>26</xdr:row>
      <xdr:rowOff>231322</xdr:rowOff>
    </xdr:from>
    <xdr:to>
      <xdr:col>22</xdr:col>
      <xdr:colOff>151536</xdr:colOff>
      <xdr:row>29</xdr:row>
      <xdr:rowOff>154936</xdr:rowOff>
    </xdr:to>
    <xdr:cxnSp macro="">
      <xdr:nvCxnSpPr>
        <xdr:cNvPr id="26" name="カギ線コネクタ 25"/>
        <xdr:cNvCxnSpPr>
          <a:stCxn id="22" idx="2"/>
          <a:endCxn id="24" idx="0"/>
        </xdr:cNvCxnSpPr>
      </xdr:nvCxnSpPr>
      <xdr:spPr>
        <a:xfrm rot="5400000">
          <a:off x="11210071" y="3041022"/>
          <a:ext cx="637989" cy="7401090"/>
        </a:xfrm>
        <a:prstGeom prst="bentConnector3">
          <a:avLst>
            <a:gd name="adj1" fmla="val 50000"/>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358619</xdr:colOff>
      <xdr:row>27</xdr:row>
      <xdr:rowOff>4805</xdr:rowOff>
    </xdr:from>
    <xdr:to>
      <xdr:col>9</xdr:col>
      <xdr:colOff>374293</xdr:colOff>
      <xdr:row>34</xdr:row>
      <xdr:rowOff>166676</xdr:rowOff>
    </xdr:to>
    <xdr:cxnSp macro="">
      <xdr:nvCxnSpPr>
        <xdr:cNvPr id="27" name="カギ線コネクタ 26"/>
        <xdr:cNvCxnSpPr>
          <a:stCxn id="43" idx="2"/>
          <a:endCxn id="19" idx="1"/>
        </xdr:cNvCxnSpPr>
      </xdr:nvCxnSpPr>
      <xdr:spPr>
        <a:xfrm rot="16200000" flipH="1">
          <a:off x="3223983" y="4940416"/>
          <a:ext cx="1828746" cy="4816274"/>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358618</xdr:colOff>
      <xdr:row>27</xdr:row>
      <xdr:rowOff>1543</xdr:rowOff>
    </xdr:from>
    <xdr:to>
      <xdr:col>9</xdr:col>
      <xdr:colOff>374949</xdr:colOff>
      <xdr:row>38</xdr:row>
      <xdr:rowOff>84904</xdr:rowOff>
    </xdr:to>
    <xdr:cxnSp macro="">
      <xdr:nvCxnSpPr>
        <xdr:cNvPr id="28" name="カギ線コネクタ 27"/>
        <xdr:cNvCxnSpPr>
          <a:stCxn id="43" idx="2"/>
          <a:endCxn id="20" idx="1"/>
        </xdr:cNvCxnSpPr>
      </xdr:nvCxnSpPr>
      <xdr:spPr>
        <a:xfrm rot="16200000" flipH="1">
          <a:off x="2787316" y="5373820"/>
          <a:ext cx="2702736" cy="4816931"/>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358619</xdr:colOff>
      <xdr:row>26</xdr:row>
      <xdr:rowOff>239668</xdr:rowOff>
    </xdr:from>
    <xdr:to>
      <xdr:col>9</xdr:col>
      <xdr:colOff>384475</xdr:colOff>
      <xdr:row>42</xdr:row>
      <xdr:rowOff>165124</xdr:rowOff>
    </xdr:to>
    <xdr:cxnSp macro="">
      <xdr:nvCxnSpPr>
        <xdr:cNvPr id="29" name="カギ線コネクタ 28"/>
        <xdr:cNvCxnSpPr>
          <a:stCxn id="43" idx="2"/>
          <a:endCxn id="21" idx="1"/>
        </xdr:cNvCxnSpPr>
      </xdr:nvCxnSpPr>
      <xdr:spPr>
        <a:xfrm rot="16200000" flipH="1">
          <a:off x="2275719" y="5885418"/>
          <a:ext cx="3735456" cy="4826456"/>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358618</xdr:colOff>
      <xdr:row>27</xdr:row>
      <xdr:rowOff>1543</xdr:rowOff>
    </xdr:from>
    <xdr:to>
      <xdr:col>9</xdr:col>
      <xdr:colOff>374949</xdr:colOff>
      <xdr:row>32</xdr:row>
      <xdr:rowOff>190764</xdr:rowOff>
    </xdr:to>
    <xdr:cxnSp macro="">
      <xdr:nvCxnSpPr>
        <xdr:cNvPr id="30" name="カギ線コネクタ 29"/>
        <xdr:cNvCxnSpPr>
          <a:stCxn id="43" idx="2"/>
          <a:endCxn id="23" idx="1"/>
        </xdr:cNvCxnSpPr>
      </xdr:nvCxnSpPr>
      <xdr:spPr>
        <a:xfrm rot="16200000" flipH="1">
          <a:off x="3448761" y="4712375"/>
          <a:ext cx="1379846" cy="4816931"/>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374293</xdr:colOff>
      <xdr:row>40</xdr:row>
      <xdr:rowOff>9898</xdr:rowOff>
    </xdr:from>
    <xdr:to>
      <xdr:col>13</xdr:col>
      <xdr:colOff>172864</xdr:colOff>
      <xdr:row>41</xdr:row>
      <xdr:rowOff>124969</xdr:rowOff>
    </xdr:to>
    <xdr:sp macro="" textlink="">
      <xdr:nvSpPr>
        <xdr:cNvPr id="31" name="正方形/長方形 30"/>
        <xdr:cNvSpPr/>
      </xdr:nvSpPr>
      <xdr:spPr>
        <a:xfrm>
          <a:off x="6546493" y="9534898"/>
          <a:ext cx="2541771" cy="353196"/>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講師配置加算</a:t>
          </a:r>
        </a:p>
      </xdr:txBody>
    </xdr:sp>
    <xdr:clientData/>
  </xdr:twoCellAnchor>
  <xdr:twoCellAnchor>
    <xdr:from>
      <xdr:col>9</xdr:col>
      <xdr:colOff>382833</xdr:colOff>
      <xdr:row>51</xdr:row>
      <xdr:rowOff>13693</xdr:rowOff>
    </xdr:from>
    <xdr:to>
      <xdr:col>13</xdr:col>
      <xdr:colOff>181404</xdr:colOff>
      <xdr:row>52</xdr:row>
      <xdr:rowOff>120318</xdr:rowOff>
    </xdr:to>
    <xdr:sp macro="" textlink="">
      <xdr:nvSpPr>
        <xdr:cNvPr id="32" name="正方形/長方形 31"/>
        <xdr:cNvSpPr/>
      </xdr:nvSpPr>
      <xdr:spPr>
        <a:xfrm>
          <a:off x="6555033" y="12158068"/>
          <a:ext cx="2541771" cy="34475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事務職員配置加算</a:t>
          </a:r>
        </a:p>
      </xdr:txBody>
    </xdr:sp>
    <xdr:clientData/>
  </xdr:twoCellAnchor>
  <xdr:twoCellAnchor>
    <xdr:from>
      <xdr:col>15</xdr:col>
      <xdr:colOff>168088</xdr:colOff>
      <xdr:row>46</xdr:row>
      <xdr:rowOff>68976</xdr:rowOff>
    </xdr:from>
    <xdr:to>
      <xdr:col>18</xdr:col>
      <xdr:colOff>647017</xdr:colOff>
      <xdr:row>47</xdr:row>
      <xdr:rowOff>184048</xdr:rowOff>
    </xdr:to>
    <xdr:sp macro="" textlink="">
      <xdr:nvSpPr>
        <xdr:cNvPr id="33" name="正方形/長方形 32"/>
        <xdr:cNvSpPr/>
      </xdr:nvSpPr>
      <xdr:spPr>
        <a:xfrm>
          <a:off x="10445563" y="11022726"/>
          <a:ext cx="2536329" cy="353197"/>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施設機能強化推進費加算</a:t>
          </a:r>
        </a:p>
      </xdr:txBody>
    </xdr:sp>
    <xdr:clientData/>
  </xdr:twoCellAnchor>
  <xdr:twoCellAnchor>
    <xdr:from>
      <xdr:col>15</xdr:col>
      <xdr:colOff>166407</xdr:colOff>
      <xdr:row>48</xdr:row>
      <xdr:rowOff>22748</xdr:rowOff>
    </xdr:from>
    <xdr:to>
      <xdr:col>18</xdr:col>
      <xdr:colOff>645336</xdr:colOff>
      <xdr:row>49</xdr:row>
      <xdr:rowOff>140295</xdr:rowOff>
    </xdr:to>
    <xdr:sp macro="" textlink="">
      <xdr:nvSpPr>
        <xdr:cNvPr id="34" name="正方形/長方形 33"/>
        <xdr:cNvSpPr/>
      </xdr:nvSpPr>
      <xdr:spPr>
        <a:xfrm>
          <a:off x="10443882" y="11452748"/>
          <a:ext cx="2536329" cy="355672"/>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高齢者等活躍促進加算</a:t>
          </a:r>
        </a:p>
      </xdr:txBody>
    </xdr:sp>
    <xdr:clientData/>
  </xdr:twoCellAnchor>
  <xdr:twoCellAnchor>
    <xdr:from>
      <xdr:col>1</xdr:col>
      <xdr:colOff>3201</xdr:colOff>
      <xdr:row>50</xdr:row>
      <xdr:rowOff>209414</xdr:rowOff>
    </xdr:from>
    <xdr:to>
      <xdr:col>5</xdr:col>
      <xdr:colOff>3201</xdr:colOff>
      <xdr:row>52</xdr:row>
      <xdr:rowOff>114242</xdr:rowOff>
    </xdr:to>
    <xdr:sp macro="" textlink="">
      <xdr:nvSpPr>
        <xdr:cNvPr id="35" name="正方形/長方形 34"/>
        <xdr:cNvSpPr/>
      </xdr:nvSpPr>
      <xdr:spPr>
        <a:xfrm>
          <a:off x="689001" y="12115664"/>
          <a:ext cx="2743200" cy="381078"/>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基本分を超えた事務職員の配置</a:t>
          </a:r>
        </a:p>
      </xdr:txBody>
    </xdr:sp>
    <xdr:clientData/>
  </xdr:twoCellAnchor>
  <xdr:twoCellAnchor>
    <xdr:from>
      <xdr:col>18</xdr:col>
      <xdr:colOff>645337</xdr:colOff>
      <xdr:row>18</xdr:row>
      <xdr:rowOff>124813</xdr:rowOff>
    </xdr:from>
    <xdr:to>
      <xdr:col>27</xdr:col>
      <xdr:colOff>6570</xdr:colOff>
      <xdr:row>48</xdr:row>
      <xdr:rowOff>199763</xdr:rowOff>
    </xdr:to>
    <xdr:cxnSp macro="">
      <xdr:nvCxnSpPr>
        <xdr:cNvPr id="36" name="カギ線コネクタ 35"/>
        <xdr:cNvCxnSpPr>
          <a:endCxn id="34" idx="3"/>
        </xdr:cNvCxnSpPr>
      </xdr:nvCxnSpPr>
      <xdr:spPr>
        <a:xfrm rot="5400000">
          <a:off x="12137579" y="5253696"/>
          <a:ext cx="7218700" cy="5533433"/>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647018</xdr:colOff>
      <xdr:row>22</xdr:row>
      <xdr:rowOff>19706</xdr:rowOff>
    </xdr:from>
    <xdr:to>
      <xdr:col>26</xdr:col>
      <xdr:colOff>6570</xdr:colOff>
      <xdr:row>47</xdr:row>
      <xdr:rowOff>8270</xdr:rowOff>
    </xdr:to>
    <xdr:cxnSp macro="">
      <xdr:nvCxnSpPr>
        <xdr:cNvPr id="37" name="カギ線コネクタ 36"/>
        <xdr:cNvCxnSpPr>
          <a:endCxn id="33" idx="3"/>
        </xdr:cNvCxnSpPr>
      </xdr:nvCxnSpPr>
      <xdr:spPr>
        <a:xfrm rot="5400000">
          <a:off x="12434024" y="5806325"/>
          <a:ext cx="5941689" cy="4845952"/>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3</xdr:row>
      <xdr:rowOff>95117</xdr:rowOff>
    </xdr:from>
    <xdr:to>
      <xdr:col>4</xdr:col>
      <xdr:colOff>44012</xdr:colOff>
      <xdr:row>4</xdr:row>
      <xdr:rowOff>224904</xdr:rowOff>
    </xdr:to>
    <xdr:sp macro="" textlink="">
      <xdr:nvSpPr>
        <xdr:cNvPr id="38" name="正方形/長方形 37"/>
        <xdr:cNvSpPr/>
      </xdr:nvSpPr>
      <xdr:spPr>
        <a:xfrm>
          <a:off x="685800" y="809492"/>
          <a:ext cx="2101412" cy="367912"/>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その他保育教諭の配置</a:t>
          </a:r>
        </a:p>
      </xdr:txBody>
    </xdr:sp>
    <xdr:clientData/>
  </xdr:twoCellAnchor>
  <xdr:twoCellAnchor>
    <xdr:from>
      <xdr:col>0</xdr:col>
      <xdr:colOff>122465</xdr:colOff>
      <xdr:row>19</xdr:row>
      <xdr:rowOff>0</xdr:rowOff>
    </xdr:from>
    <xdr:to>
      <xdr:col>4</xdr:col>
      <xdr:colOff>598714</xdr:colOff>
      <xdr:row>20</xdr:row>
      <xdr:rowOff>176893</xdr:rowOff>
    </xdr:to>
    <xdr:sp macro="" textlink="">
      <xdr:nvSpPr>
        <xdr:cNvPr id="39" name="正方形/長方形 38"/>
        <xdr:cNvSpPr/>
      </xdr:nvSpPr>
      <xdr:spPr>
        <a:xfrm>
          <a:off x="122465" y="4524375"/>
          <a:ext cx="3219449" cy="415018"/>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年齢別配置基準を満たしている</a:t>
          </a:r>
        </a:p>
      </xdr:txBody>
    </xdr:sp>
    <xdr:clientData/>
  </xdr:twoCellAnchor>
  <xdr:twoCellAnchor>
    <xdr:from>
      <xdr:col>2</xdr:col>
      <xdr:colOff>360590</xdr:colOff>
      <xdr:row>4</xdr:row>
      <xdr:rowOff>224904</xdr:rowOff>
    </xdr:from>
    <xdr:to>
      <xdr:col>2</xdr:col>
      <xdr:colOff>362185</xdr:colOff>
      <xdr:row>19</xdr:row>
      <xdr:rowOff>0</xdr:rowOff>
    </xdr:to>
    <xdr:cxnSp macro="">
      <xdr:nvCxnSpPr>
        <xdr:cNvPr id="40" name="カギ線コネクタ 39"/>
        <xdr:cNvCxnSpPr>
          <a:stCxn id="38" idx="2"/>
          <a:endCxn id="39" idx="0"/>
        </xdr:cNvCxnSpPr>
      </xdr:nvCxnSpPr>
      <xdr:spPr>
        <a:xfrm flipH="1">
          <a:off x="1732190" y="1177404"/>
          <a:ext cx="1595" cy="3346971"/>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381452</xdr:colOff>
      <xdr:row>4</xdr:row>
      <xdr:rowOff>47592</xdr:rowOff>
    </xdr:from>
    <xdr:to>
      <xdr:col>9</xdr:col>
      <xdr:colOff>231324</xdr:colOff>
      <xdr:row>7</xdr:row>
      <xdr:rowOff>3140</xdr:rowOff>
    </xdr:to>
    <xdr:cxnSp macro="">
      <xdr:nvCxnSpPr>
        <xdr:cNvPr id="41" name="カギ線コネクタ 40"/>
        <xdr:cNvCxnSpPr>
          <a:stCxn id="7" idx="1"/>
          <a:endCxn id="44" idx="3"/>
        </xdr:cNvCxnSpPr>
      </xdr:nvCxnSpPr>
      <xdr:spPr>
        <a:xfrm rot="10800000" flipV="1">
          <a:off x="1753052" y="1000092"/>
          <a:ext cx="4650472" cy="669923"/>
        </a:xfrm>
        <a:prstGeom prst="bentConnector3">
          <a:avLst>
            <a:gd name="adj1" fmla="val 10008"/>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381452</xdr:colOff>
      <xdr:row>4</xdr:row>
      <xdr:rowOff>47436</xdr:rowOff>
    </xdr:from>
    <xdr:to>
      <xdr:col>15</xdr:col>
      <xdr:colOff>6855</xdr:colOff>
      <xdr:row>7</xdr:row>
      <xdr:rowOff>3139</xdr:rowOff>
    </xdr:to>
    <xdr:cxnSp macro="">
      <xdr:nvCxnSpPr>
        <xdr:cNvPr id="42" name="カギ線コネクタ 41"/>
        <xdr:cNvCxnSpPr>
          <a:stCxn id="8" idx="1"/>
          <a:endCxn id="44" idx="3"/>
        </xdr:cNvCxnSpPr>
      </xdr:nvCxnSpPr>
      <xdr:spPr>
        <a:xfrm rot="10800000" flipV="1">
          <a:off x="1753052" y="999936"/>
          <a:ext cx="8531278" cy="670078"/>
        </a:xfrm>
        <a:prstGeom prst="bentConnector3">
          <a:avLst>
            <a:gd name="adj1" fmla="val 6568"/>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99333</xdr:colOff>
      <xdr:row>24</xdr:row>
      <xdr:rowOff>9525</xdr:rowOff>
    </xdr:from>
    <xdr:to>
      <xdr:col>4</xdr:col>
      <xdr:colOff>617904</xdr:colOff>
      <xdr:row>26</xdr:row>
      <xdr:rowOff>239668</xdr:rowOff>
    </xdr:to>
    <xdr:sp macro="" textlink="">
      <xdr:nvSpPr>
        <xdr:cNvPr id="43" name="正方形/長方形 42"/>
        <xdr:cNvSpPr/>
      </xdr:nvSpPr>
      <xdr:spPr>
        <a:xfrm>
          <a:off x="99333" y="5724525"/>
          <a:ext cx="3261771" cy="706393"/>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基本分単価における必要保育教諭等の数を満たしている</a:t>
          </a:r>
        </a:p>
      </xdr:txBody>
    </xdr:sp>
    <xdr:clientData/>
  </xdr:twoCellAnchor>
  <xdr:twoCellAnchor>
    <xdr:from>
      <xdr:col>2</xdr:col>
      <xdr:colOff>345451</xdr:colOff>
      <xdr:row>6</xdr:row>
      <xdr:rowOff>222443</xdr:rowOff>
    </xdr:from>
    <xdr:to>
      <xdr:col>2</xdr:col>
      <xdr:colOff>381451</xdr:colOff>
      <xdr:row>7</xdr:row>
      <xdr:rowOff>20318</xdr:rowOff>
    </xdr:to>
    <xdr:sp macro="" textlink="">
      <xdr:nvSpPr>
        <xdr:cNvPr id="44" name="正方形/長方形 43"/>
        <xdr:cNvSpPr/>
      </xdr:nvSpPr>
      <xdr:spPr>
        <a:xfrm>
          <a:off x="1717051" y="1651193"/>
          <a:ext cx="36000" cy="36000"/>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216777</xdr:colOff>
      <xdr:row>7</xdr:row>
      <xdr:rowOff>201239</xdr:rowOff>
    </xdr:from>
    <xdr:to>
      <xdr:col>8</xdr:col>
      <xdr:colOff>186560</xdr:colOff>
      <xdr:row>11</xdr:row>
      <xdr:rowOff>1561</xdr:rowOff>
    </xdr:to>
    <xdr:grpSp>
      <xdr:nvGrpSpPr>
        <xdr:cNvPr id="45" name="グループ化 44"/>
        <xdr:cNvGrpSpPr/>
      </xdr:nvGrpSpPr>
      <xdr:grpSpPr>
        <a:xfrm>
          <a:off x="2928980" y="1896366"/>
          <a:ext cx="2681987" cy="768966"/>
          <a:chOff x="3429000" y="1197517"/>
          <a:chExt cx="2101412" cy="456136"/>
        </a:xfrm>
      </xdr:grpSpPr>
      <xdr:sp macro="" textlink="">
        <xdr:nvSpPr>
          <xdr:cNvPr id="46" name="正方形/長方形 45"/>
          <xdr:cNvSpPr/>
        </xdr:nvSpPr>
        <xdr:spPr>
          <a:xfrm>
            <a:off x="3429000" y="1197517"/>
            <a:ext cx="2101412" cy="224903"/>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休けい保育教諭の配置</a:t>
            </a:r>
          </a:p>
        </xdr:txBody>
      </xdr:sp>
      <xdr:sp macro="" textlink="">
        <xdr:nvSpPr>
          <xdr:cNvPr id="47" name="正方形/長方形 46"/>
          <xdr:cNvSpPr/>
        </xdr:nvSpPr>
        <xdr:spPr>
          <a:xfrm>
            <a:off x="3429000" y="1428750"/>
            <a:ext cx="2101412" cy="224903"/>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保育標準時間対応保育教諭の配置</a:t>
            </a:r>
          </a:p>
        </xdr:txBody>
      </xdr:sp>
    </xdr:grpSp>
    <xdr:clientData/>
  </xdr:twoCellAnchor>
  <xdr:twoCellAnchor>
    <xdr:from>
      <xdr:col>6</xdr:col>
      <xdr:colOff>187211</xdr:colOff>
      <xdr:row>11</xdr:row>
      <xdr:rowOff>228600</xdr:rowOff>
    </xdr:from>
    <xdr:to>
      <xdr:col>6</xdr:col>
      <xdr:colOff>223211</xdr:colOff>
      <xdr:row>12</xdr:row>
      <xdr:rowOff>26475</xdr:rowOff>
    </xdr:to>
    <xdr:sp macro="" textlink="">
      <xdr:nvSpPr>
        <xdr:cNvPr id="48" name="正方形/長方形 47"/>
        <xdr:cNvSpPr/>
      </xdr:nvSpPr>
      <xdr:spPr>
        <a:xfrm>
          <a:off x="4302011" y="2847975"/>
          <a:ext cx="36000" cy="36000"/>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223211</xdr:colOff>
      <xdr:row>9</xdr:row>
      <xdr:rowOff>135737</xdr:rowOff>
    </xdr:from>
    <xdr:to>
      <xdr:col>9</xdr:col>
      <xdr:colOff>230902</xdr:colOff>
      <xdr:row>12</xdr:row>
      <xdr:rowOff>5073</xdr:rowOff>
    </xdr:to>
    <xdr:cxnSp macro="">
      <xdr:nvCxnSpPr>
        <xdr:cNvPr id="49" name="カギ線コネクタ 48"/>
        <xdr:cNvCxnSpPr>
          <a:stCxn id="9" idx="1"/>
          <a:endCxn id="48" idx="3"/>
        </xdr:cNvCxnSpPr>
      </xdr:nvCxnSpPr>
      <xdr:spPr>
        <a:xfrm rot="10800000" flipV="1">
          <a:off x="4338011" y="2278862"/>
          <a:ext cx="2065091" cy="583711"/>
        </a:xfrm>
        <a:prstGeom prst="bentConnector3">
          <a:avLst>
            <a:gd name="adj1" fmla="val 23433"/>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223212</xdr:colOff>
      <xdr:row>9</xdr:row>
      <xdr:rowOff>125901</xdr:rowOff>
    </xdr:from>
    <xdr:to>
      <xdr:col>15</xdr:col>
      <xdr:colOff>4075</xdr:colOff>
      <xdr:row>12</xdr:row>
      <xdr:rowOff>5073</xdr:rowOff>
    </xdr:to>
    <xdr:cxnSp macro="">
      <xdr:nvCxnSpPr>
        <xdr:cNvPr id="50" name="カギ線コネクタ 49"/>
        <xdr:cNvCxnSpPr>
          <a:stCxn id="10" idx="1"/>
          <a:endCxn id="48" idx="3"/>
        </xdr:cNvCxnSpPr>
      </xdr:nvCxnSpPr>
      <xdr:spPr>
        <a:xfrm rot="10800000" flipV="1">
          <a:off x="4338012" y="2269026"/>
          <a:ext cx="5943538" cy="593547"/>
        </a:xfrm>
        <a:prstGeom prst="bentConnector3">
          <a:avLst>
            <a:gd name="adj1" fmla="val 8976"/>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358619</xdr:colOff>
      <xdr:row>20</xdr:row>
      <xdr:rowOff>176893</xdr:rowOff>
    </xdr:from>
    <xdr:to>
      <xdr:col>2</xdr:col>
      <xdr:colOff>360590</xdr:colOff>
      <xdr:row>24</xdr:row>
      <xdr:rowOff>9525</xdr:rowOff>
    </xdr:to>
    <xdr:cxnSp macro="">
      <xdr:nvCxnSpPr>
        <xdr:cNvPr id="51" name="カギ線コネクタ 39"/>
        <xdr:cNvCxnSpPr>
          <a:stCxn id="39" idx="2"/>
          <a:endCxn id="43" idx="0"/>
        </xdr:cNvCxnSpPr>
      </xdr:nvCxnSpPr>
      <xdr:spPr>
        <a:xfrm flipH="1">
          <a:off x="1730219" y="4939393"/>
          <a:ext cx="1971" cy="785132"/>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617905</xdr:colOff>
      <xdr:row>11</xdr:row>
      <xdr:rowOff>1561</xdr:rowOff>
    </xdr:from>
    <xdr:to>
      <xdr:col>6</xdr:col>
      <xdr:colOff>201670</xdr:colOff>
      <xdr:row>25</xdr:row>
      <xdr:rowOff>124596</xdr:rowOff>
    </xdr:to>
    <xdr:cxnSp macro="">
      <xdr:nvCxnSpPr>
        <xdr:cNvPr id="52" name="カギ線コネクタ 51"/>
        <xdr:cNvCxnSpPr>
          <a:stCxn id="47" idx="2"/>
          <a:endCxn id="43" idx="3"/>
        </xdr:cNvCxnSpPr>
      </xdr:nvCxnSpPr>
      <xdr:spPr>
        <a:xfrm rot="5400000">
          <a:off x="2110395" y="3871646"/>
          <a:ext cx="3456785" cy="955365"/>
        </a:xfrm>
        <a:prstGeom prst="bentConnector2">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3201</xdr:colOff>
      <xdr:row>51</xdr:row>
      <xdr:rowOff>161828</xdr:rowOff>
    </xdr:from>
    <xdr:to>
      <xdr:col>9</xdr:col>
      <xdr:colOff>382833</xdr:colOff>
      <xdr:row>51</xdr:row>
      <xdr:rowOff>185247</xdr:rowOff>
    </xdr:to>
    <xdr:cxnSp macro="">
      <xdr:nvCxnSpPr>
        <xdr:cNvPr id="53" name="カギ線コネクタ 86"/>
        <xdr:cNvCxnSpPr>
          <a:stCxn id="35" idx="3"/>
          <a:endCxn id="32" idx="1"/>
        </xdr:cNvCxnSpPr>
      </xdr:nvCxnSpPr>
      <xdr:spPr>
        <a:xfrm>
          <a:off x="3432201" y="12306203"/>
          <a:ext cx="3122832" cy="23419"/>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358620</xdr:colOff>
      <xdr:row>26</xdr:row>
      <xdr:rowOff>239667</xdr:rowOff>
    </xdr:from>
    <xdr:to>
      <xdr:col>9</xdr:col>
      <xdr:colOff>374294</xdr:colOff>
      <xdr:row>40</xdr:row>
      <xdr:rowOff>189897</xdr:rowOff>
    </xdr:to>
    <xdr:cxnSp macro="">
      <xdr:nvCxnSpPr>
        <xdr:cNvPr id="54" name="カギ線コネクタ 53"/>
        <xdr:cNvCxnSpPr>
          <a:stCxn id="43" idx="2"/>
          <a:endCxn id="31" idx="1"/>
        </xdr:cNvCxnSpPr>
      </xdr:nvCxnSpPr>
      <xdr:spPr>
        <a:xfrm rot="16200000" flipH="1">
          <a:off x="2496367" y="5664770"/>
          <a:ext cx="3283980" cy="4816274"/>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147939</xdr:colOff>
      <xdr:row>29</xdr:row>
      <xdr:rowOff>154935</xdr:rowOff>
    </xdr:from>
    <xdr:to>
      <xdr:col>18</xdr:col>
      <xdr:colOff>626867</xdr:colOff>
      <xdr:row>31</xdr:row>
      <xdr:rowOff>25078</xdr:rowOff>
    </xdr:to>
    <xdr:sp macro="" textlink="">
      <xdr:nvSpPr>
        <xdr:cNvPr id="55" name="正方形/長方形 54"/>
        <xdr:cNvSpPr/>
      </xdr:nvSpPr>
      <xdr:spPr>
        <a:xfrm>
          <a:off x="10425414" y="7060560"/>
          <a:ext cx="2536328" cy="34639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療育支援加算</a:t>
          </a:r>
        </a:p>
      </xdr:txBody>
    </xdr:sp>
    <xdr:clientData/>
  </xdr:twoCellAnchor>
  <xdr:twoCellAnchor>
    <xdr:from>
      <xdr:col>17</xdr:col>
      <xdr:colOff>43038</xdr:colOff>
      <xdr:row>27</xdr:row>
      <xdr:rowOff>9252</xdr:rowOff>
    </xdr:from>
    <xdr:to>
      <xdr:col>17</xdr:col>
      <xdr:colOff>48904</xdr:colOff>
      <xdr:row>29</xdr:row>
      <xdr:rowOff>154935</xdr:rowOff>
    </xdr:to>
    <xdr:cxnSp macro="">
      <xdr:nvCxnSpPr>
        <xdr:cNvPr id="56" name="カギ線コネクタ 28"/>
        <xdr:cNvCxnSpPr>
          <a:stCxn id="61" idx="2"/>
          <a:endCxn id="55" idx="0"/>
        </xdr:cNvCxnSpPr>
      </xdr:nvCxnSpPr>
      <xdr:spPr>
        <a:xfrm flipH="1">
          <a:off x="11692113" y="6438627"/>
          <a:ext cx="5866" cy="621933"/>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284688</xdr:colOff>
      <xdr:row>27</xdr:row>
      <xdr:rowOff>3843</xdr:rowOff>
    </xdr:from>
    <xdr:to>
      <xdr:col>11</xdr:col>
      <xdr:colOff>284722</xdr:colOff>
      <xdr:row>29</xdr:row>
      <xdr:rowOff>154935</xdr:rowOff>
    </xdr:to>
    <xdr:cxnSp macro="">
      <xdr:nvCxnSpPr>
        <xdr:cNvPr id="57" name="カギ線コネクタ 28"/>
        <xdr:cNvCxnSpPr>
          <a:stCxn id="15" idx="2"/>
          <a:endCxn id="24" idx="0"/>
        </xdr:cNvCxnSpPr>
      </xdr:nvCxnSpPr>
      <xdr:spPr>
        <a:xfrm>
          <a:off x="7828488" y="6433218"/>
          <a:ext cx="34" cy="627342"/>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170843</xdr:colOff>
      <xdr:row>41</xdr:row>
      <xdr:rowOff>225289</xdr:rowOff>
    </xdr:from>
    <xdr:to>
      <xdr:col>18</xdr:col>
      <xdr:colOff>649771</xdr:colOff>
      <xdr:row>43</xdr:row>
      <xdr:rowOff>95432</xdr:rowOff>
    </xdr:to>
    <xdr:sp macro="" textlink="">
      <xdr:nvSpPr>
        <xdr:cNvPr id="58" name="正方形/長方形 57"/>
        <xdr:cNvSpPr/>
      </xdr:nvSpPr>
      <xdr:spPr>
        <a:xfrm>
          <a:off x="10448318" y="9988414"/>
          <a:ext cx="2536328" cy="34639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チーム保育加配加算</a:t>
          </a:r>
        </a:p>
      </xdr:txBody>
    </xdr:sp>
    <xdr:clientData/>
  </xdr:twoCellAnchor>
  <xdr:twoCellAnchor>
    <xdr:from>
      <xdr:col>15</xdr:col>
      <xdr:colOff>170186</xdr:colOff>
      <xdr:row>33</xdr:row>
      <xdr:rowOff>202871</xdr:rowOff>
    </xdr:from>
    <xdr:to>
      <xdr:col>18</xdr:col>
      <xdr:colOff>649114</xdr:colOff>
      <xdr:row>35</xdr:row>
      <xdr:rowOff>130480</xdr:rowOff>
    </xdr:to>
    <xdr:sp macro="" textlink="">
      <xdr:nvSpPr>
        <xdr:cNvPr id="59" name="正方形/長方形 58"/>
        <xdr:cNvSpPr/>
      </xdr:nvSpPr>
      <xdr:spPr>
        <a:xfrm>
          <a:off x="10447661" y="8060996"/>
          <a:ext cx="2536328" cy="403859"/>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３歳児配置改善加算</a:t>
          </a:r>
        </a:p>
      </xdr:txBody>
    </xdr:sp>
    <xdr:clientData/>
  </xdr:twoCellAnchor>
  <xdr:twoCellAnchor>
    <xdr:from>
      <xdr:col>13</xdr:col>
      <xdr:colOff>172864</xdr:colOff>
      <xdr:row>34</xdr:row>
      <xdr:rowOff>166676</xdr:rowOff>
    </xdr:from>
    <xdr:to>
      <xdr:col>15</xdr:col>
      <xdr:colOff>170186</xdr:colOff>
      <xdr:row>34</xdr:row>
      <xdr:rowOff>166676</xdr:rowOff>
    </xdr:to>
    <xdr:cxnSp macro="">
      <xdr:nvCxnSpPr>
        <xdr:cNvPr id="60" name="カギ線コネクタ 422"/>
        <xdr:cNvCxnSpPr>
          <a:stCxn id="19" idx="3"/>
          <a:endCxn id="59" idx="1"/>
        </xdr:cNvCxnSpPr>
      </xdr:nvCxnSpPr>
      <xdr:spPr>
        <a:xfrm>
          <a:off x="9088264" y="8262926"/>
          <a:ext cx="1359397"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461424</xdr:colOff>
      <xdr:row>24</xdr:row>
      <xdr:rowOff>15591</xdr:rowOff>
    </xdr:from>
    <xdr:to>
      <xdr:col>19</xdr:col>
      <xdr:colOff>310459</xdr:colOff>
      <xdr:row>27</xdr:row>
      <xdr:rowOff>9252</xdr:rowOff>
    </xdr:to>
    <xdr:sp macro="" textlink="">
      <xdr:nvSpPr>
        <xdr:cNvPr id="61" name="正方形/長方形 60"/>
        <xdr:cNvSpPr/>
      </xdr:nvSpPr>
      <xdr:spPr>
        <a:xfrm>
          <a:off x="10062624" y="5730591"/>
          <a:ext cx="3268510" cy="708036"/>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主幹教諭等の専任化により子育て支援の取組みを実施している（２・３号）</a:t>
          </a:r>
        </a:p>
      </xdr:txBody>
    </xdr:sp>
    <xdr:clientData/>
  </xdr:twoCellAnchor>
  <xdr:twoCellAnchor>
    <xdr:from>
      <xdr:col>11</xdr:col>
      <xdr:colOff>2</xdr:colOff>
      <xdr:row>0</xdr:row>
      <xdr:rowOff>145675</xdr:rowOff>
    </xdr:from>
    <xdr:to>
      <xdr:col>12</xdr:col>
      <xdr:colOff>56031</xdr:colOff>
      <xdr:row>2</xdr:row>
      <xdr:rowOff>89647</xdr:rowOff>
    </xdr:to>
    <xdr:sp macro="" textlink="">
      <xdr:nvSpPr>
        <xdr:cNvPr id="62" name="正方形/長方形 61"/>
        <xdr:cNvSpPr/>
      </xdr:nvSpPr>
      <xdr:spPr>
        <a:xfrm>
          <a:off x="7543802" y="145675"/>
          <a:ext cx="741829" cy="4202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１号</a:t>
          </a:r>
        </a:p>
      </xdr:txBody>
    </xdr:sp>
    <xdr:clientData/>
  </xdr:twoCellAnchor>
  <xdr:twoCellAnchor>
    <xdr:from>
      <xdr:col>16</xdr:col>
      <xdr:colOff>342901</xdr:colOff>
      <xdr:row>0</xdr:row>
      <xdr:rowOff>141192</xdr:rowOff>
    </xdr:from>
    <xdr:to>
      <xdr:col>18</xdr:col>
      <xdr:colOff>44822</xdr:colOff>
      <xdr:row>2</xdr:row>
      <xdr:rowOff>85164</xdr:rowOff>
    </xdr:to>
    <xdr:sp macro="" textlink="">
      <xdr:nvSpPr>
        <xdr:cNvPr id="63" name="正方形/長方形 62"/>
        <xdr:cNvSpPr/>
      </xdr:nvSpPr>
      <xdr:spPr>
        <a:xfrm>
          <a:off x="11306176" y="141192"/>
          <a:ext cx="1073521" cy="4202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２・３号</a:t>
          </a:r>
        </a:p>
      </xdr:txBody>
    </xdr:sp>
    <xdr:clientData/>
  </xdr:twoCellAnchor>
  <xdr:twoCellAnchor>
    <xdr:from>
      <xdr:col>19</xdr:col>
      <xdr:colOff>506666</xdr:colOff>
      <xdr:row>3</xdr:row>
      <xdr:rowOff>170489</xdr:rowOff>
    </xdr:from>
    <xdr:to>
      <xdr:col>22</xdr:col>
      <xdr:colOff>204108</xdr:colOff>
      <xdr:row>5</xdr:row>
      <xdr:rowOff>103253</xdr:rowOff>
    </xdr:to>
    <xdr:sp macro="" textlink="">
      <xdr:nvSpPr>
        <xdr:cNvPr id="64" name="正方形/長方形 63"/>
        <xdr:cNvSpPr/>
      </xdr:nvSpPr>
      <xdr:spPr>
        <a:xfrm>
          <a:off x="13527341" y="884864"/>
          <a:ext cx="1754842" cy="40901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ⅰ</a:t>
          </a:r>
          <a:r>
            <a:rPr kumimoji="1" lang="ja-JP" altLang="en-US" sz="1200" baseline="0">
              <a:solidFill>
                <a:schemeClr val="tx1"/>
              </a:solidFill>
              <a:latin typeface="HG丸ｺﾞｼｯｸM-PRO" panose="020F0600000000000000" pitchFamily="50" charset="-128"/>
              <a:ea typeface="HG丸ｺﾞｼｯｸM-PRO" panose="020F0600000000000000" pitchFamily="50" charset="-128"/>
            </a:rPr>
            <a:t> </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年齢別配置基準</a:t>
          </a:r>
        </a:p>
      </xdr:txBody>
    </xdr:sp>
    <xdr:clientData/>
  </xdr:twoCellAnchor>
  <xdr:twoCellAnchor>
    <xdr:from>
      <xdr:col>20</xdr:col>
      <xdr:colOff>327691</xdr:colOff>
      <xdr:row>8</xdr:row>
      <xdr:rowOff>208430</xdr:rowOff>
    </xdr:from>
    <xdr:to>
      <xdr:col>21</xdr:col>
      <xdr:colOff>545085</xdr:colOff>
      <xdr:row>10</xdr:row>
      <xdr:rowOff>141194</xdr:rowOff>
    </xdr:to>
    <xdr:sp macro="" textlink="">
      <xdr:nvSpPr>
        <xdr:cNvPr id="65" name="正方形/長方形 64"/>
        <xdr:cNvSpPr/>
      </xdr:nvSpPr>
      <xdr:spPr>
        <a:xfrm>
          <a:off x="14034166" y="2113430"/>
          <a:ext cx="903194" cy="40901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ⅱ</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 その他</a:t>
          </a:r>
        </a:p>
      </xdr:txBody>
    </xdr:sp>
    <xdr:clientData/>
  </xdr:twoCellAnchor>
  <xdr:twoCellAnchor>
    <xdr:from>
      <xdr:col>23</xdr:col>
      <xdr:colOff>184419</xdr:colOff>
      <xdr:row>5</xdr:row>
      <xdr:rowOff>152400</xdr:rowOff>
    </xdr:from>
    <xdr:to>
      <xdr:col>26</xdr:col>
      <xdr:colOff>267342</xdr:colOff>
      <xdr:row>9</xdr:row>
      <xdr:rowOff>145676</xdr:rowOff>
    </xdr:to>
    <xdr:sp macro="" textlink="">
      <xdr:nvSpPr>
        <xdr:cNvPr id="66" name="正方形/長方形 65"/>
        <xdr:cNvSpPr/>
      </xdr:nvSpPr>
      <xdr:spPr>
        <a:xfrm>
          <a:off x="15948294" y="1343025"/>
          <a:ext cx="2140323" cy="94577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（ア）基本分単価における</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　　　必要保育教諭等</a:t>
          </a:r>
        </a:p>
      </xdr:txBody>
    </xdr:sp>
    <xdr:clientData/>
  </xdr:twoCellAnchor>
  <xdr:twoCellAnchor>
    <xdr:from>
      <xdr:col>22</xdr:col>
      <xdr:colOff>177695</xdr:colOff>
      <xdr:row>2</xdr:row>
      <xdr:rowOff>134471</xdr:rowOff>
    </xdr:from>
    <xdr:to>
      <xdr:col>23</xdr:col>
      <xdr:colOff>244930</xdr:colOff>
      <xdr:row>10</xdr:row>
      <xdr:rowOff>212911</xdr:rowOff>
    </xdr:to>
    <xdr:sp macro="" textlink="">
      <xdr:nvSpPr>
        <xdr:cNvPr id="67" name="右中かっこ 66"/>
        <xdr:cNvSpPr/>
      </xdr:nvSpPr>
      <xdr:spPr>
        <a:xfrm>
          <a:off x="15255770" y="610721"/>
          <a:ext cx="753035" cy="1983440"/>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22412</xdr:colOff>
      <xdr:row>49</xdr:row>
      <xdr:rowOff>221497</xdr:rowOff>
    </xdr:from>
    <xdr:to>
      <xdr:col>4</xdr:col>
      <xdr:colOff>324971</xdr:colOff>
      <xdr:row>51</xdr:row>
      <xdr:rowOff>113281</xdr:rowOff>
    </xdr:to>
    <xdr:sp macro="" textlink="">
      <xdr:nvSpPr>
        <xdr:cNvPr id="68" name="正方形/長方形 67"/>
        <xdr:cNvSpPr/>
      </xdr:nvSpPr>
      <xdr:spPr>
        <a:xfrm>
          <a:off x="708212" y="11889622"/>
          <a:ext cx="2359959" cy="36803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２・３号利用定員９１人以上</a:t>
          </a:r>
        </a:p>
      </xdr:txBody>
    </xdr:sp>
    <xdr:clientData/>
  </xdr:twoCellAnchor>
  <xdr:twoCellAnchor>
    <xdr:from>
      <xdr:col>9</xdr:col>
      <xdr:colOff>393031</xdr:colOff>
      <xdr:row>14</xdr:row>
      <xdr:rowOff>12477</xdr:rowOff>
    </xdr:from>
    <xdr:to>
      <xdr:col>13</xdr:col>
      <xdr:colOff>164057</xdr:colOff>
      <xdr:row>21</xdr:row>
      <xdr:rowOff>122754</xdr:rowOff>
    </xdr:to>
    <xdr:grpSp>
      <xdr:nvGrpSpPr>
        <xdr:cNvPr id="69" name="グループ化 68"/>
        <xdr:cNvGrpSpPr/>
      </xdr:nvGrpSpPr>
      <xdr:grpSpPr>
        <a:xfrm>
          <a:off x="6495489" y="3402731"/>
          <a:ext cx="2483229" cy="1805404"/>
          <a:chOff x="6576954" y="3397515"/>
          <a:chExt cx="2525949" cy="1802797"/>
        </a:xfrm>
      </xdr:grpSpPr>
      <xdr:sp macro="" textlink="">
        <xdr:nvSpPr>
          <xdr:cNvPr id="70" name="正方形/長方形 69"/>
          <xdr:cNvSpPr/>
        </xdr:nvSpPr>
        <xdr:spPr>
          <a:xfrm>
            <a:off x="6576954" y="3397515"/>
            <a:ext cx="2520000" cy="360000"/>
          </a:xfrm>
          <a:prstGeom prst="rect">
            <a:avLst/>
          </a:prstGeom>
          <a:solidFill>
            <a:srgbClr val="FFC00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子育て支援の取組み（１号）</a:t>
            </a:r>
          </a:p>
        </xdr:txBody>
      </xdr:sp>
      <xdr:sp macro="" textlink="">
        <xdr:nvSpPr>
          <xdr:cNvPr id="71" name="正方形/長方形 70"/>
          <xdr:cNvSpPr/>
        </xdr:nvSpPr>
        <xdr:spPr>
          <a:xfrm>
            <a:off x="6582903" y="3760312"/>
            <a:ext cx="2520000" cy="14400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chemeClr val="tx1"/>
                </a:solidFill>
              </a:rPr>
              <a:t>・幼稚園型一時預かり事業</a:t>
            </a:r>
            <a:endParaRPr kumimoji="1" lang="en-US" altLang="ja-JP" sz="1200">
              <a:solidFill>
                <a:schemeClr val="tx1"/>
              </a:solidFill>
            </a:endParaRPr>
          </a:p>
          <a:p>
            <a:pPr algn="l"/>
            <a:r>
              <a:rPr kumimoji="1" lang="ja-JP" altLang="en-US" sz="1200">
                <a:solidFill>
                  <a:schemeClr val="tx1"/>
                </a:solidFill>
              </a:rPr>
              <a:t>・一般型一時預かり事業</a:t>
            </a:r>
            <a:endParaRPr kumimoji="1" lang="en-US" altLang="ja-JP" sz="1200">
              <a:solidFill>
                <a:schemeClr val="tx1"/>
              </a:solidFill>
            </a:endParaRPr>
          </a:p>
          <a:p>
            <a:pPr algn="l"/>
            <a:r>
              <a:rPr kumimoji="1" lang="ja-JP" altLang="en-US" sz="1200">
                <a:solidFill>
                  <a:schemeClr val="tx1"/>
                </a:solidFill>
              </a:rPr>
              <a:t>・満３歳児１号受入れ</a:t>
            </a:r>
            <a:endParaRPr kumimoji="1" lang="en-US" altLang="ja-JP" sz="1200">
              <a:solidFill>
                <a:schemeClr val="tx1"/>
              </a:solidFill>
            </a:endParaRPr>
          </a:p>
          <a:p>
            <a:pPr algn="l"/>
            <a:r>
              <a:rPr kumimoji="1" lang="ja-JP" altLang="en-US" sz="1200">
                <a:solidFill>
                  <a:schemeClr val="tx1"/>
                </a:solidFill>
              </a:rPr>
              <a:t>・障害児受入れ</a:t>
            </a:r>
            <a:endParaRPr kumimoji="1" lang="en-US" altLang="ja-JP" sz="1200">
              <a:solidFill>
                <a:schemeClr val="tx1"/>
              </a:solidFill>
            </a:endParaRPr>
          </a:p>
          <a:p>
            <a:pPr algn="l"/>
            <a:r>
              <a:rPr kumimoji="1" lang="ja-JP" altLang="en-US" sz="1200">
                <a:solidFill>
                  <a:schemeClr val="tx1"/>
                </a:solidFill>
              </a:rPr>
              <a:t>・小学校との連携・接続</a:t>
            </a:r>
          </a:p>
        </xdr:txBody>
      </xdr:sp>
    </xdr:grpSp>
    <xdr:clientData/>
  </xdr:twoCellAnchor>
  <xdr:twoCellAnchor>
    <xdr:from>
      <xdr:col>15</xdr:col>
      <xdr:colOff>163053</xdr:colOff>
      <xdr:row>14</xdr:row>
      <xdr:rowOff>11011</xdr:rowOff>
    </xdr:from>
    <xdr:to>
      <xdr:col>18</xdr:col>
      <xdr:colOff>618239</xdr:colOff>
      <xdr:row>21</xdr:row>
      <xdr:rowOff>121288</xdr:rowOff>
    </xdr:to>
    <xdr:grpSp>
      <xdr:nvGrpSpPr>
        <xdr:cNvPr id="72" name="グループ化 71"/>
        <xdr:cNvGrpSpPr/>
      </xdr:nvGrpSpPr>
      <xdr:grpSpPr>
        <a:xfrm>
          <a:off x="10333816" y="3401265"/>
          <a:ext cx="2489338" cy="1805404"/>
          <a:chOff x="6582903" y="3397515"/>
          <a:chExt cx="2521378" cy="1802797"/>
        </a:xfrm>
      </xdr:grpSpPr>
      <xdr:sp macro="" textlink="">
        <xdr:nvSpPr>
          <xdr:cNvPr id="73" name="正方形/長方形 72"/>
          <xdr:cNvSpPr/>
        </xdr:nvSpPr>
        <xdr:spPr>
          <a:xfrm>
            <a:off x="6584281" y="3397515"/>
            <a:ext cx="2520000" cy="360000"/>
          </a:xfrm>
          <a:prstGeom prst="rect">
            <a:avLst/>
          </a:prstGeom>
          <a:solidFill>
            <a:srgbClr val="FFC00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子育て支援の取組み（２・３号）</a:t>
            </a:r>
          </a:p>
        </xdr:txBody>
      </xdr:sp>
      <xdr:sp macro="" textlink="">
        <xdr:nvSpPr>
          <xdr:cNvPr id="74" name="正方形/長方形 73"/>
          <xdr:cNvSpPr/>
        </xdr:nvSpPr>
        <xdr:spPr>
          <a:xfrm>
            <a:off x="6582903" y="3760312"/>
            <a:ext cx="2520000" cy="14400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chemeClr val="tx1"/>
                </a:solidFill>
              </a:rPr>
              <a:t>・延長保育事業</a:t>
            </a:r>
            <a:endParaRPr kumimoji="1" lang="en-US" altLang="ja-JP" sz="1200">
              <a:solidFill>
                <a:schemeClr val="tx1"/>
              </a:solidFill>
            </a:endParaRPr>
          </a:p>
          <a:p>
            <a:pPr algn="l"/>
            <a:r>
              <a:rPr kumimoji="1" lang="ja-JP" altLang="en-US" sz="1200">
                <a:solidFill>
                  <a:schemeClr val="tx1"/>
                </a:solidFill>
              </a:rPr>
              <a:t>・一般型一時預かり事業</a:t>
            </a:r>
            <a:endParaRPr kumimoji="1" lang="en-US" altLang="ja-JP" sz="1200">
              <a:solidFill>
                <a:schemeClr val="tx1"/>
              </a:solidFill>
            </a:endParaRPr>
          </a:p>
          <a:p>
            <a:pPr algn="l"/>
            <a:r>
              <a:rPr kumimoji="1" lang="ja-JP" altLang="en-US" sz="1200">
                <a:solidFill>
                  <a:schemeClr val="tx1"/>
                </a:solidFill>
              </a:rPr>
              <a:t>・病児保育事業</a:t>
            </a:r>
            <a:endParaRPr kumimoji="1" lang="en-US" altLang="ja-JP" sz="1200">
              <a:solidFill>
                <a:schemeClr val="tx1"/>
              </a:solidFill>
            </a:endParaRPr>
          </a:p>
          <a:p>
            <a:pPr algn="l"/>
            <a:r>
              <a:rPr kumimoji="1" lang="ja-JP" altLang="en-US" sz="1200">
                <a:solidFill>
                  <a:schemeClr val="tx1"/>
                </a:solidFill>
              </a:rPr>
              <a:t>・０歳児受入れ</a:t>
            </a:r>
            <a:endParaRPr kumimoji="1" lang="en-US" altLang="ja-JP" sz="1200">
              <a:solidFill>
                <a:schemeClr val="tx1"/>
              </a:solidFill>
            </a:endParaRPr>
          </a:p>
          <a:p>
            <a:pPr algn="l"/>
            <a:r>
              <a:rPr kumimoji="1" lang="ja-JP" altLang="en-US" sz="1200">
                <a:solidFill>
                  <a:schemeClr val="tx1"/>
                </a:solidFill>
              </a:rPr>
              <a:t>・障害児受入れ</a:t>
            </a:r>
            <a:endParaRPr kumimoji="1" lang="en-US" altLang="ja-JP" sz="1200">
              <a:solidFill>
                <a:schemeClr val="tx1"/>
              </a:solidFill>
            </a:endParaRPr>
          </a:p>
          <a:p>
            <a:pPr algn="l"/>
            <a:endParaRPr kumimoji="1" lang="ja-JP" altLang="en-US" sz="1200">
              <a:solidFill>
                <a:schemeClr val="tx1"/>
              </a:solidFill>
            </a:endParaRPr>
          </a:p>
        </xdr:txBody>
      </xdr:sp>
    </xdr:grpSp>
    <xdr:clientData/>
  </xdr:twoCellAnchor>
  <xdr:twoCellAnchor>
    <xdr:from>
      <xdr:col>9</xdr:col>
      <xdr:colOff>297757</xdr:colOff>
      <xdr:row>31</xdr:row>
      <xdr:rowOff>35945</xdr:rowOff>
    </xdr:from>
    <xdr:to>
      <xdr:col>13</xdr:col>
      <xdr:colOff>447261</xdr:colOff>
      <xdr:row>32</xdr:row>
      <xdr:rowOff>170186</xdr:rowOff>
    </xdr:to>
    <xdr:sp macro="" textlink="">
      <xdr:nvSpPr>
        <xdr:cNvPr id="75" name="正方形/長方形 74"/>
        <xdr:cNvSpPr/>
      </xdr:nvSpPr>
      <xdr:spPr>
        <a:xfrm>
          <a:off x="6469957" y="7417820"/>
          <a:ext cx="2892704" cy="37236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１・２号（３歳児以上）利用定員が３６～３００人</a:t>
          </a:r>
        </a:p>
      </xdr:txBody>
    </xdr:sp>
    <xdr:clientData/>
  </xdr:twoCellAnchor>
  <xdr:twoCellAnchor>
    <xdr:from>
      <xdr:col>9</xdr:col>
      <xdr:colOff>301070</xdr:colOff>
      <xdr:row>39</xdr:row>
      <xdr:rowOff>38021</xdr:rowOff>
    </xdr:from>
    <xdr:to>
      <xdr:col>13</xdr:col>
      <xdr:colOff>450574</xdr:colOff>
      <xdr:row>40</xdr:row>
      <xdr:rowOff>174736</xdr:rowOff>
    </xdr:to>
    <xdr:sp macro="" textlink="">
      <xdr:nvSpPr>
        <xdr:cNvPr id="76" name="正方形/長方形 75"/>
        <xdr:cNvSpPr/>
      </xdr:nvSpPr>
      <xdr:spPr>
        <a:xfrm>
          <a:off x="6473270" y="9324896"/>
          <a:ext cx="2892704" cy="3748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１号利用定員が３５人以下または１２２人以上</a:t>
          </a:r>
        </a:p>
      </xdr:txBody>
    </xdr:sp>
    <xdr:clientData/>
  </xdr:twoCellAnchor>
  <xdr:twoCellAnchor>
    <xdr:from>
      <xdr:col>9</xdr:col>
      <xdr:colOff>381375</xdr:colOff>
      <xdr:row>48</xdr:row>
      <xdr:rowOff>102922</xdr:rowOff>
    </xdr:from>
    <xdr:to>
      <xdr:col>13</xdr:col>
      <xdr:colOff>179946</xdr:colOff>
      <xdr:row>49</xdr:row>
      <xdr:rowOff>217992</xdr:rowOff>
    </xdr:to>
    <xdr:sp macro="" textlink="">
      <xdr:nvSpPr>
        <xdr:cNvPr id="77" name="正方形/長方形 76"/>
        <xdr:cNvSpPr/>
      </xdr:nvSpPr>
      <xdr:spPr>
        <a:xfrm>
          <a:off x="6553575" y="11532922"/>
          <a:ext cx="2541771" cy="353195"/>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副園長・教頭配置加算</a:t>
          </a:r>
        </a:p>
      </xdr:txBody>
    </xdr:sp>
    <xdr:clientData/>
  </xdr:twoCellAnchor>
  <xdr:twoCellAnchor>
    <xdr:from>
      <xdr:col>1</xdr:col>
      <xdr:colOff>975</xdr:colOff>
      <xdr:row>48</xdr:row>
      <xdr:rowOff>79775</xdr:rowOff>
    </xdr:from>
    <xdr:to>
      <xdr:col>5</xdr:col>
      <xdr:colOff>975</xdr:colOff>
      <xdr:row>49</xdr:row>
      <xdr:rowOff>224585</xdr:rowOff>
    </xdr:to>
    <xdr:sp macro="" textlink="">
      <xdr:nvSpPr>
        <xdr:cNvPr id="78" name="正方形/長方形 77"/>
        <xdr:cNvSpPr/>
      </xdr:nvSpPr>
      <xdr:spPr>
        <a:xfrm>
          <a:off x="686775" y="11509775"/>
          <a:ext cx="2743200" cy="382935"/>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副園長・教頭の配置</a:t>
          </a:r>
        </a:p>
      </xdr:txBody>
    </xdr:sp>
    <xdr:clientData/>
  </xdr:twoCellAnchor>
  <xdr:twoCellAnchor>
    <xdr:from>
      <xdr:col>5</xdr:col>
      <xdr:colOff>975</xdr:colOff>
      <xdr:row>49</xdr:row>
      <xdr:rowOff>29716</xdr:rowOff>
    </xdr:from>
    <xdr:to>
      <xdr:col>9</xdr:col>
      <xdr:colOff>381375</xdr:colOff>
      <xdr:row>49</xdr:row>
      <xdr:rowOff>37993</xdr:rowOff>
    </xdr:to>
    <xdr:cxnSp macro="">
      <xdr:nvCxnSpPr>
        <xdr:cNvPr id="79" name="カギ線コネクタ 86"/>
        <xdr:cNvCxnSpPr>
          <a:stCxn id="78" idx="3"/>
          <a:endCxn id="77" idx="1"/>
        </xdr:cNvCxnSpPr>
      </xdr:nvCxnSpPr>
      <xdr:spPr>
        <a:xfrm>
          <a:off x="3429975" y="11697841"/>
          <a:ext cx="3123600" cy="8277"/>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387196</xdr:colOff>
      <xdr:row>44</xdr:row>
      <xdr:rowOff>110494</xdr:rowOff>
    </xdr:from>
    <xdr:to>
      <xdr:col>13</xdr:col>
      <xdr:colOff>185767</xdr:colOff>
      <xdr:row>45</xdr:row>
      <xdr:rowOff>235090</xdr:rowOff>
    </xdr:to>
    <xdr:sp macro="" textlink="">
      <xdr:nvSpPr>
        <xdr:cNvPr id="80" name="正方形/長方形 79"/>
        <xdr:cNvSpPr/>
      </xdr:nvSpPr>
      <xdr:spPr>
        <a:xfrm>
          <a:off x="6559396" y="10587994"/>
          <a:ext cx="2541771" cy="362721"/>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指導充実加配加算</a:t>
          </a:r>
        </a:p>
      </xdr:txBody>
    </xdr:sp>
    <xdr:clientData/>
  </xdr:twoCellAnchor>
  <xdr:twoCellAnchor>
    <xdr:from>
      <xdr:col>2</xdr:col>
      <xdr:colOff>358618</xdr:colOff>
      <xdr:row>26</xdr:row>
      <xdr:rowOff>239668</xdr:rowOff>
    </xdr:from>
    <xdr:to>
      <xdr:col>9</xdr:col>
      <xdr:colOff>387195</xdr:colOff>
      <xdr:row>45</xdr:row>
      <xdr:rowOff>50328</xdr:rowOff>
    </xdr:to>
    <xdr:cxnSp macro="">
      <xdr:nvCxnSpPr>
        <xdr:cNvPr id="81" name="カギ線コネクタ 80"/>
        <xdr:cNvCxnSpPr>
          <a:stCxn id="43" idx="2"/>
          <a:endCxn id="80" idx="1"/>
        </xdr:cNvCxnSpPr>
      </xdr:nvCxnSpPr>
      <xdr:spPr>
        <a:xfrm rot="16200000" flipH="1">
          <a:off x="1977289" y="6183847"/>
          <a:ext cx="4335035" cy="4829177"/>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334438</xdr:colOff>
      <xdr:row>43</xdr:row>
      <xdr:rowOff>128183</xdr:rowOff>
    </xdr:from>
    <xdr:to>
      <xdr:col>13</xdr:col>
      <xdr:colOff>483942</xdr:colOff>
      <xdr:row>45</xdr:row>
      <xdr:rowOff>19969</xdr:rowOff>
    </xdr:to>
    <xdr:sp macro="" textlink="">
      <xdr:nvSpPr>
        <xdr:cNvPr id="82" name="正方形/長方形 81"/>
        <xdr:cNvSpPr/>
      </xdr:nvSpPr>
      <xdr:spPr>
        <a:xfrm>
          <a:off x="6506638" y="10367558"/>
          <a:ext cx="2892704" cy="36803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１・２号（３歳児以上）利用定員が２７１人以上</a:t>
          </a:r>
        </a:p>
      </xdr:txBody>
    </xdr:sp>
    <xdr:clientData/>
  </xdr:twoCellAnchor>
  <xdr:twoCellAnchor>
    <xdr:from>
      <xdr:col>9</xdr:col>
      <xdr:colOff>385555</xdr:colOff>
      <xdr:row>53</xdr:row>
      <xdr:rowOff>226068</xdr:rowOff>
    </xdr:from>
    <xdr:to>
      <xdr:col>13</xdr:col>
      <xdr:colOff>184126</xdr:colOff>
      <xdr:row>55</xdr:row>
      <xdr:rowOff>96212</xdr:rowOff>
    </xdr:to>
    <xdr:sp macro="" textlink="">
      <xdr:nvSpPr>
        <xdr:cNvPr id="83" name="正方形/長方形 82"/>
        <xdr:cNvSpPr/>
      </xdr:nvSpPr>
      <xdr:spPr>
        <a:xfrm>
          <a:off x="6557755" y="12846693"/>
          <a:ext cx="2541771" cy="346394"/>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事務負担対応加配加算</a:t>
          </a:r>
        </a:p>
      </xdr:txBody>
    </xdr:sp>
    <xdr:clientData/>
  </xdr:twoCellAnchor>
  <xdr:twoCellAnchor>
    <xdr:from>
      <xdr:col>1</xdr:col>
      <xdr:colOff>5923</xdr:colOff>
      <xdr:row>53</xdr:row>
      <xdr:rowOff>210207</xdr:rowOff>
    </xdr:from>
    <xdr:to>
      <xdr:col>8</xdr:col>
      <xdr:colOff>381000</xdr:colOff>
      <xdr:row>55</xdr:row>
      <xdr:rowOff>108858</xdr:rowOff>
    </xdr:to>
    <xdr:sp macro="" textlink="">
      <xdr:nvSpPr>
        <xdr:cNvPr id="84" name="正方形/長方形 83"/>
        <xdr:cNvSpPr/>
      </xdr:nvSpPr>
      <xdr:spPr>
        <a:xfrm>
          <a:off x="691723" y="12830832"/>
          <a:ext cx="5175677" cy="374901"/>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事務職員配置加算における事務職員を超えた非常勤事務職員の配置</a:t>
          </a:r>
        </a:p>
      </xdr:txBody>
    </xdr:sp>
    <xdr:clientData/>
  </xdr:twoCellAnchor>
  <xdr:twoCellAnchor>
    <xdr:from>
      <xdr:col>8</xdr:col>
      <xdr:colOff>381000</xdr:colOff>
      <xdr:row>54</xdr:row>
      <xdr:rowOff>159533</xdr:rowOff>
    </xdr:from>
    <xdr:to>
      <xdr:col>9</xdr:col>
      <xdr:colOff>385555</xdr:colOff>
      <xdr:row>54</xdr:row>
      <xdr:rowOff>161141</xdr:rowOff>
    </xdr:to>
    <xdr:cxnSp macro="">
      <xdr:nvCxnSpPr>
        <xdr:cNvPr id="85" name="カギ線コネクタ 86"/>
        <xdr:cNvCxnSpPr>
          <a:stCxn id="84" idx="3"/>
          <a:endCxn id="83" idx="1"/>
        </xdr:cNvCxnSpPr>
      </xdr:nvCxnSpPr>
      <xdr:spPr>
        <a:xfrm>
          <a:off x="5867400" y="13018283"/>
          <a:ext cx="690355" cy="1608"/>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3201</xdr:colOff>
      <xdr:row>52</xdr:row>
      <xdr:rowOff>114242</xdr:rowOff>
    </xdr:from>
    <xdr:to>
      <xdr:col>3</xdr:col>
      <xdr:colOff>3201</xdr:colOff>
      <xdr:row>53</xdr:row>
      <xdr:rowOff>216776</xdr:rowOff>
    </xdr:to>
    <xdr:cxnSp macro="">
      <xdr:nvCxnSpPr>
        <xdr:cNvPr id="86" name="カギ線コネクタ 86"/>
        <xdr:cNvCxnSpPr>
          <a:stCxn id="35" idx="2"/>
        </xdr:cNvCxnSpPr>
      </xdr:nvCxnSpPr>
      <xdr:spPr>
        <a:xfrm>
          <a:off x="2060601" y="12496742"/>
          <a:ext cx="0" cy="340659"/>
        </a:xfrm>
        <a:prstGeom prst="straightConnector1">
          <a:avLst/>
        </a:prstGeom>
        <a:ln w="38100">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597894</xdr:colOff>
      <xdr:row>53</xdr:row>
      <xdr:rowOff>1573</xdr:rowOff>
    </xdr:from>
    <xdr:to>
      <xdr:col>9</xdr:col>
      <xdr:colOff>54673</xdr:colOff>
      <xdr:row>54</xdr:row>
      <xdr:rowOff>120237</xdr:rowOff>
    </xdr:to>
    <xdr:sp macro="" textlink="">
      <xdr:nvSpPr>
        <xdr:cNvPr id="87" name="正方形/長方形 86"/>
        <xdr:cNvSpPr/>
      </xdr:nvSpPr>
      <xdr:spPr>
        <a:xfrm>
          <a:off x="3341094" y="12622198"/>
          <a:ext cx="2885779" cy="35678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１・２号（３歳児以上）利用定員が２７１人以上</a:t>
          </a:r>
        </a:p>
      </xdr:txBody>
    </xdr:sp>
    <xdr:clientData/>
  </xdr:twoCellAnchor>
  <xdr:twoCellAnchor>
    <xdr:from>
      <xdr:col>19</xdr:col>
      <xdr:colOff>384044</xdr:colOff>
      <xdr:row>46</xdr:row>
      <xdr:rowOff>8007</xdr:rowOff>
    </xdr:from>
    <xdr:to>
      <xdr:col>21</xdr:col>
      <xdr:colOff>649809</xdr:colOff>
      <xdr:row>48</xdr:row>
      <xdr:rowOff>39057</xdr:rowOff>
    </xdr:to>
    <xdr:sp macro="" textlink="">
      <xdr:nvSpPr>
        <xdr:cNvPr id="88" name="正方形/長方形 87"/>
        <xdr:cNvSpPr/>
      </xdr:nvSpPr>
      <xdr:spPr>
        <a:xfrm>
          <a:off x="13404719" y="10961757"/>
          <a:ext cx="1637365" cy="5073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合わせて２つ以上実施</a:t>
          </a:r>
        </a:p>
      </xdr:txBody>
    </xdr:sp>
    <xdr:clientData/>
  </xdr:twoCellAnchor>
  <xdr:twoCellAnchor>
    <xdr:from>
      <xdr:col>19</xdr:col>
      <xdr:colOff>394811</xdr:colOff>
      <xdr:row>47</xdr:row>
      <xdr:rowOff>181367</xdr:rowOff>
    </xdr:from>
    <xdr:to>
      <xdr:col>20</xdr:col>
      <xdr:colOff>674647</xdr:colOff>
      <xdr:row>49</xdr:row>
      <xdr:rowOff>61075</xdr:rowOff>
    </xdr:to>
    <xdr:sp macro="" textlink="">
      <xdr:nvSpPr>
        <xdr:cNvPr id="89" name="正方形/長方形 88"/>
        <xdr:cNvSpPr/>
      </xdr:nvSpPr>
      <xdr:spPr>
        <a:xfrm>
          <a:off x="13415486" y="11373242"/>
          <a:ext cx="965636" cy="35595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１つ以上実施</a:t>
          </a:r>
        </a:p>
      </xdr:txBody>
    </xdr:sp>
    <xdr:clientData/>
  </xdr:twoCellAnchor>
  <xdr:twoCellAnchor>
    <xdr:from>
      <xdr:col>9</xdr:col>
      <xdr:colOff>375499</xdr:colOff>
      <xdr:row>46</xdr:row>
      <xdr:rowOff>75699</xdr:rowOff>
    </xdr:from>
    <xdr:to>
      <xdr:col>13</xdr:col>
      <xdr:colOff>170869</xdr:colOff>
      <xdr:row>47</xdr:row>
      <xdr:rowOff>190771</xdr:rowOff>
    </xdr:to>
    <xdr:sp macro="" textlink="">
      <xdr:nvSpPr>
        <xdr:cNvPr id="90" name="正方形/長方形 89"/>
        <xdr:cNvSpPr/>
      </xdr:nvSpPr>
      <xdr:spPr>
        <a:xfrm>
          <a:off x="6547699" y="11029449"/>
          <a:ext cx="2538570" cy="353197"/>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施設機能強化推進費加算</a:t>
          </a:r>
        </a:p>
      </xdr:txBody>
    </xdr:sp>
    <xdr:clientData/>
  </xdr:twoCellAnchor>
  <xdr:twoCellAnchor>
    <xdr:from>
      <xdr:col>13</xdr:col>
      <xdr:colOff>170869</xdr:colOff>
      <xdr:row>47</xdr:row>
      <xdr:rowOff>4048</xdr:rowOff>
    </xdr:from>
    <xdr:to>
      <xdr:col>15</xdr:col>
      <xdr:colOff>168088</xdr:colOff>
      <xdr:row>47</xdr:row>
      <xdr:rowOff>10771</xdr:rowOff>
    </xdr:to>
    <xdr:cxnSp macro="">
      <xdr:nvCxnSpPr>
        <xdr:cNvPr id="91" name="カギ線コネクタ 86"/>
        <xdr:cNvCxnSpPr>
          <a:stCxn id="33" idx="1"/>
          <a:endCxn id="90" idx="3"/>
        </xdr:cNvCxnSpPr>
      </xdr:nvCxnSpPr>
      <xdr:spPr>
        <a:xfrm flipH="1">
          <a:off x="9086269" y="11195923"/>
          <a:ext cx="1359294" cy="6723"/>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164057</xdr:colOff>
      <xdr:row>18</xdr:row>
      <xdr:rowOff>125568</xdr:rowOff>
    </xdr:from>
    <xdr:to>
      <xdr:col>27</xdr:col>
      <xdr:colOff>6569</xdr:colOff>
      <xdr:row>22</xdr:row>
      <xdr:rowOff>13137</xdr:rowOff>
    </xdr:to>
    <xdr:grpSp>
      <xdr:nvGrpSpPr>
        <xdr:cNvPr id="92" name="グループ化 91"/>
        <xdr:cNvGrpSpPr/>
      </xdr:nvGrpSpPr>
      <xdr:grpSpPr>
        <a:xfrm>
          <a:off x="8978718" y="4484466"/>
          <a:ext cx="9335224" cy="856213"/>
          <a:chOff x="9169512" y="4489751"/>
          <a:chExt cx="9523375" cy="1095749"/>
        </a:xfrm>
      </xdr:grpSpPr>
      <xdr:cxnSp macro="">
        <xdr:nvCxnSpPr>
          <xdr:cNvPr id="93" name="カギ線コネクタ 191"/>
          <xdr:cNvCxnSpPr>
            <a:stCxn id="74" idx="3"/>
          </xdr:cNvCxnSpPr>
        </xdr:nvCxnSpPr>
        <xdr:spPr>
          <a:xfrm>
            <a:off x="13082160" y="4489751"/>
            <a:ext cx="5610727" cy="0"/>
          </a:xfrm>
          <a:prstGeom prst="straightConnector1">
            <a:avLst/>
          </a:prstGeom>
          <a:ln w="3810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grpSp>
        <xdr:nvGrpSpPr>
          <xdr:cNvPr id="94" name="グループ化 93"/>
          <xdr:cNvGrpSpPr/>
        </xdr:nvGrpSpPr>
        <xdr:grpSpPr>
          <a:xfrm>
            <a:off x="9169512" y="4491677"/>
            <a:ext cx="8831263" cy="1093823"/>
            <a:chOff x="9169512" y="4491677"/>
            <a:chExt cx="8831263" cy="1093823"/>
          </a:xfrm>
        </xdr:grpSpPr>
        <xdr:cxnSp macro="">
          <xdr:nvCxnSpPr>
            <xdr:cNvPr id="95" name="カギ線コネクタ 94"/>
            <xdr:cNvCxnSpPr>
              <a:stCxn id="71" idx="3"/>
            </xdr:cNvCxnSpPr>
          </xdr:nvCxnSpPr>
          <xdr:spPr>
            <a:xfrm>
              <a:off x="9169512" y="4491677"/>
              <a:ext cx="8831263" cy="1093820"/>
            </a:xfrm>
            <a:prstGeom prst="bentConnector3">
              <a:avLst>
                <a:gd name="adj1" fmla="val 7725"/>
              </a:avLst>
            </a:prstGeom>
            <a:ln w="3810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xnSp macro="">
          <xdr:nvCxnSpPr>
            <xdr:cNvPr id="96" name="カギ線コネクタ 214"/>
            <xdr:cNvCxnSpPr/>
          </xdr:nvCxnSpPr>
          <xdr:spPr>
            <a:xfrm>
              <a:off x="13894682" y="4497389"/>
              <a:ext cx="1317676" cy="1088111"/>
            </a:xfrm>
            <a:prstGeom prst="curvedConnector3">
              <a:avLst/>
            </a:prstGeom>
            <a:ln w="3810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xdr:from>
      <xdr:col>2</xdr:col>
      <xdr:colOff>358619</xdr:colOff>
      <xdr:row>27</xdr:row>
      <xdr:rowOff>1542</xdr:rowOff>
    </xdr:from>
    <xdr:to>
      <xdr:col>9</xdr:col>
      <xdr:colOff>385436</xdr:colOff>
      <xdr:row>30</xdr:row>
      <xdr:rowOff>90006</xdr:rowOff>
    </xdr:to>
    <xdr:cxnSp macro="">
      <xdr:nvCxnSpPr>
        <xdr:cNvPr id="97" name="カギ線コネクタ 96"/>
        <xdr:cNvCxnSpPr>
          <a:stCxn id="43" idx="2"/>
          <a:endCxn id="24" idx="1"/>
        </xdr:cNvCxnSpPr>
      </xdr:nvCxnSpPr>
      <xdr:spPr>
        <a:xfrm rot="16200000" flipH="1">
          <a:off x="3742508" y="4418628"/>
          <a:ext cx="802839" cy="4827417"/>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184007</xdr:colOff>
      <xdr:row>30</xdr:row>
      <xdr:rowOff>90007</xdr:rowOff>
    </xdr:from>
    <xdr:to>
      <xdr:col>15</xdr:col>
      <xdr:colOff>147939</xdr:colOff>
      <xdr:row>30</xdr:row>
      <xdr:rowOff>90007</xdr:rowOff>
    </xdr:to>
    <xdr:cxnSp macro="">
      <xdr:nvCxnSpPr>
        <xdr:cNvPr id="98" name="カギ線コネクタ 422"/>
        <xdr:cNvCxnSpPr>
          <a:stCxn id="24" idx="3"/>
          <a:endCxn id="55" idx="1"/>
        </xdr:cNvCxnSpPr>
      </xdr:nvCxnSpPr>
      <xdr:spPr>
        <a:xfrm>
          <a:off x="9099407" y="7233757"/>
          <a:ext cx="1326007"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166407</xdr:colOff>
      <xdr:row>50</xdr:row>
      <xdr:rowOff>240463</xdr:rowOff>
    </xdr:from>
    <xdr:to>
      <xdr:col>18</xdr:col>
      <xdr:colOff>645336</xdr:colOff>
      <xdr:row>52</xdr:row>
      <xdr:rowOff>113081</xdr:rowOff>
    </xdr:to>
    <xdr:sp macro="" textlink="">
      <xdr:nvSpPr>
        <xdr:cNvPr id="99" name="正方形/長方形 98"/>
        <xdr:cNvSpPr/>
      </xdr:nvSpPr>
      <xdr:spPr>
        <a:xfrm>
          <a:off x="10443882" y="12146713"/>
          <a:ext cx="2536329" cy="348868"/>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栄養管理加算</a:t>
          </a:r>
        </a:p>
      </xdr:txBody>
    </xdr:sp>
    <xdr:clientData/>
  </xdr:twoCellAnchor>
  <xdr:twoCellAnchor>
    <xdr:from>
      <xdr:col>19</xdr:col>
      <xdr:colOff>394607</xdr:colOff>
      <xdr:row>50</xdr:row>
      <xdr:rowOff>176893</xdr:rowOff>
    </xdr:from>
    <xdr:to>
      <xdr:col>23</xdr:col>
      <xdr:colOff>269888</xdr:colOff>
      <xdr:row>51</xdr:row>
      <xdr:rowOff>219241</xdr:rowOff>
    </xdr:to>
    <xdr:sp macro="" textlink="">
      <xdr:nvSpPr>
        <xdr:cNvPr id="100" name="正方形/長方形 99"/>
        <xdr:cNvSpPr/>
      </xdr:nvSpPr>
      <xdr:spPr>
        <a:xfrm>
          <a:off x="13415282" y="12083143"/>
          <a:ext cx="2618481" cy="2804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雇用の他、栄養士の活用方法による</a:t>
          </a:r>
        </a:p>
      </xdr:txBody>
    </xdr:sp>
    <xdr:clientData/>
  </xdr:twoCellAnchor>
  <xdr:twoCellAnchor>
    <xdr:from>
      <xdr:col>23</xdr:col>
      <xdr:colOff>0</xdr:colOff>
      <xdr:row>51</xdr:row>
      <xdr:rowOff>0</xdr:rowOff>
    </xdr:from>
    <xdr:to>
      <xdr:col>27</xdr:col>
      <xdr:colOff>78541</xdr:colOff>
      <xdr:row>52</xdr:row>
      <xdr:rowOff>129786</xdr:rowOff>
    </xdr:to>
    <xdr:sp macro="" textlink="">
      <xdr:nvSpPr>
        <xdr:cNvPr id="101" name="正方形/長方形 100"/>
        <xdr:cNvSpPr/>
      </xdr:nvSpPr>
      <xdr:spPr>
        <a:xfrm>
          <a:off x="15763875" y="12144375"/>
          <a:ext cx="2821741" cy="367911"/>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調理員等の配置</a:t>
          </a:r>
        </a:p>
      </xdr:txBody>
    </xdr:sp>
    <xdr:clientData/>
  </xdr:twoCellAnchor>
  <xdr:twoCellAnchor>
    <xdr:from>
      <xdr:col>18</xdr:col>
      <xdr:colOff>645336</xdr:colOff>
      <xdr:row>51</xdr:row>
      <xdr:rowOff>176772</xdr:rowOff>
    </xdr:from>
    <xdr:to>
      <xdr:col>23</xdr:col>
      <xdr:colOff>0</xdr:colOff>
      <xdr:row>51</xdr:row>
      <xdr:rowOff>187358</xdr:rowOff>
    </xdr:to>
    <xdr:cxnSp macro="">
      <xdr:nvCxnSpPr>
        <xdr:cNvPr id="102" name="カギ線コネクタ 86"/>
        <xdr:cNvCxnSpPr>
          <a:stCxn id="101" idx="1"/>
          <a:endCxn id="99" idx="3"/>
        </xdr:cNvCxnSpPr>
      </xdr:nvCxnSpPr>
      <xdr:spPr>
        <a:xfrm flipH="1" flipV="1">
          <a:off x="12980211" y="12321147"/>
          <a:ext cx="2783664" cy="10586"/>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358620</xdr:colOff>
      <xdr:row>27</xdr:row>
      <xdr:rowOff>4804</xdr:rowOff>
    </xdr:from>
    <xdr:to>
      <xdr:col>9</xdr:col>
      <xdr:colOff>363468</xdr:colOff>
      <xdr:row>36</xdr:row>
      <xdr:rowOff>159930</xdr:rowOff>
    </xdr:to>
    <xdr:cxnSp macro="">
      <xdr:nvCxnSpPr>
        <xdr:cNvPr id="103" name="カギ線コネクタ 102"/>
        <xdr:cNvCxnSpPr>
          <a:stCxn id="43" idx="2"/>
        </xdr:cNvCxnSpPr>
      </xdr:nvCxnSpPr>
      <xdr:spPr>
        <a:xfrm rot="16200000" flipH="1">
          <a:off x="2983818" y="5180581"/>
          <a:ext cx="2298251" cy="4805448"/>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383166</xdr:colOff>
      <xdr:row>35</xdr:row>
      <xdr:rowOff>172600</xdr:rowOff>
    </xdr:from>
    <xdr:to>
      <xdr:col>13</xdr:col>
      <xdr:colOff>181737</xdr:colOff>
      <xdr:row>37</xdr:row>
      <xdr:rowOff>100208</xdr:rowOff>
    </xdr:to>
    <xdr:sp macro="" textlink="">
      <xdr:nvSpPr>
        <xdr:cNvPr id="104" name="正方形/長方形 103"/>
        <xdr:cNvSpPr/>
      </xdr:nvSpPr>
      <xdr:spPr>
        <a:xfrm>
          <a:off x="6555366" y="8506975"/>
          <a:ext cx="2541771" cy="403858"/>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４歳以上児配置改善加算</a:t>
          </a:r>
        </a:p>
      </xdr:txBody>
    </xdr:sp>
    <xdr:clientData/>
  </xdr:twoCellAnchor>
  <xdr:twoCellAnchor>
    <xdr:from>
      <xdr:col>15</xdr:col>
      <xdr:colOff>166011</xdr:colOff>
      <xdr:row>35</xdr:row>
      <xdr:rowOff>185648</xdr:rowOff>
    </xdr:from>
    <xdr:to>
      <xdr:col>18</xdr:col>
      <xdr:colOff>644939</xdr:colOff>
      <xdr:row>37</xdr:row>
      <xdr:rowOff>113256</xdr:rowOff>
    </xdr:to>
    <xdr:sp macro="" textlink="">
      <xdr:nvSpPr>
        <xdr:cNvPr id="105" name="正方形/長方形 104"/>
        <xdr:cNvSpPr/>
      </xdr:nvSpPr>
      <xdr:spPr>
        <a:xfrm>
          <a:off x="10443486" y="8520023"/>
          <a:ext cx="2536328" cy="403858"/>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４歳以上児配置改善加算</a:t>
          </a:r>
        </a:p>
      </xdr:txBody>
    </xdr:sp>
    <xdr:clientData/>
  </xdr:twoCellAnchor>
  <xdr:twoCellAnchor>
    <xdr:from>
      <xdr:col>13</xdr:col>
      <xdr:colOff>208767</xdr:colOff>
      <xdr:row>36</xdr:row>
      <xdr:rowOff>143528</xdr:rowOff>
    </xdr:from>
    <xdr:to>
      <xdr:col>15</xdr:col>
      <xdr:colOff>166011</xdr:colOff>
      <xdr:row>36</xdr:row>
      <xdr:rowOff>149453</xdr:rowOff>
    </xdr:to>
    <xdr:cxnSp macro="">
      <xdr:nvCxnSpPr>
        <xdr:cNvPr id="106" name="カギ線コネクタ 422"/>
        <xdr:cNvCxnSpPr>
          <a:endCxn id="105" idx="1"/>
        </xdr:cNvCxnSpPr>
      </xdr:nvCxnSpPr>
      <xdr:spPr>
        <a:xfrm>
          <a:off x="9124167" y="8716028"/>
          <a:ext cx="1319319" cy="5925"/>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1</xdr:colOff>
      <xdr:row>36</xdr:row>
      <xdr:rowOff>143528</xdr:rowOff>
    </xdr:from>
    <xdr:to>
      <xdr:col>19</xdr:col>
      <xdr:colOff>652397</xdr:colOff>
      <xdr:row>36</xdr:row>
      <xdr:rowOff>143529</xdr:rowOff>
    </xdr:to>
    <xdr:cxnSp macro="">
      <xdr:nvCxnSpPr>
        <xdr:cNvPr id="107" name="直線矢印コネクタ 106"/>
        <xdr:cNvCxnSpPr/>
      </xdr:nvCxnSpPr>
      <xdr:spPr>
        <a:xfrm flipH="1">
          <a:off x="13020676" y="8716028"/>
          <a:ext cx="652396" cy="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28"/>
  <sheetViews>
    <sheetView tabSelected="1" view="pageBreakPreview" zoomScale="130" zoomScaleNormal="100" zoomScaleSheetLayoutView="130" workbookViewId="0">
      <selection activeCell="L2" sqref="L2"/>
    </sheetView>
  </sheetViews>
  <sheetFormatPr defaultRowHeight="18.75"/>
  <cols>
    <col min="1" max="1" width="16.875" customWidth="1"/>
    <col min="9" max="9" width="9" style="4"/>
    <col min="11" max="11" width="15" customWidth="1"/>
    <col min="12" max="13" width="4.75" customWidth="1"/>
  </cols>
  <sheetData>
    <row r="1" spans="1:13" ht="24">
      <c r="A1" s="290" t="s">
        <v>169</v>
      </c>
      <c r="B1" s="291"/>
      <c r="C1" s="291"/>
      <c r="D1" s="291"/>
      <c r="E1" s="291"/>
      <c r="F1" s="291"/>
      <c r="G1" s="292"/>
      <c r="H1" s="10"/>
    </row>
    <row r="2" spans="1:13">
      <c r="H2" s="149">
        <f>改修履歴!A1</f>
        <v>1</v>
      </c>
      <c r="K2" s="72" t="s">
        <v>134</v>
      </c>
      <c r="L2" s="52">
        <f>COUNTIF(H4:H9,"〇")</f>
        <v>3</v>
      </c>
      <c r="M2">
        <f>L2-1</f>
        <v>2</v>
      </c>
    </row>
    <row r="3" spans="1:13" ht="19.5" thickBot="1">
      <c r="A3" t="s">
        <v>243</v>
      </c>
      <c r="E3" s="300" t="s">
        <v>133</v>
      </c>
      <c r="F3" s="300"/>
      <c r="G3" s="300"/>
      <c r="H3" s="300"/>
      <c r="K3" s="73" t="s">
        <v>135</v>
      </c>
      <c r="L3" s="52">
        <f>COUNTIF(H10:H14,"〇")</f>
        <v>3</v>
      </c>
      <c r="M3">
        <f>L3-1</f>
        <v>2</v>
      </c>
    </row>
    <row r="4" spans="1:13" ht="19.5" thickBot="1">
      <c r="A4" s="293">
        <v>45383</v>
      </c>
      <c r="B4" s="294"/>
      <c r="C4" t="s">
        <v>27</v>
      </c>
      <c r="D4" s="21" t="s">
        <v>36</v>
      </c>
      <c r="E4" s="301" t="s">
        <v>31</v>
      </c>
      <c r="F4" s="301"/>
      <c r="G4" s="302"/>
      <c r="H4" s="19" t="s">
        <v>82</v>
      </c>
      <c r="K4" s="21" t="s">
        <v>181</v>
      </c>
      <c r="L4" s="52">
        <f>COUNTIF(H4:H7,"〇")+COUNTIF(H10,"〇")+COUNTIF(H12:H13,"〇")</f>
        <v>4</v>
      </c>
    </row>
    <row r="5" spans="1:13" ht="19.5" thickBot="1">
      <c r="D5" s="21" t="s">
        <v>36</v>
      </c>
      <c r="E5" s="288" t="s">
        <v>32</v>
      </c>
      <c r="F5" s="288"/>
      <c r="G5" s="289"/>
      <c r="H5" s="19"/>
    </row>
    <row r="6" spans="1:13" ht="19.5" thickBot="1">
      <c r="A6" s="3" t="s">
        <v>38</v>
      </c>
      <c r="D6" s="21" t="s">
        <v>36</v>
      </c>
      <c r="E6" s="288" t="s">
        <v>33</v>
      </c>
      <c r="F6" s="288"/>
      <c r="G6" s="289"/>
      <c r="H6" s="19"/>
    </row>
    <row r="7" spans="1:13" ht="19.5" thickBot="1">
      <c r="A7" s="297" t="s">
        <v>321</v>
      </c>
      <c r="B7" s="298"/>
      <c r="C7" s="299"/>
      <c r="D7" s="21" t="s">
        <v>36</v>
      </c>
      <c r="E7" s="288" t="s">
        <v>34</v>
      </c>
      <c r="F7" s="288"/>
      <c r="G7" s="289"/>
      <c r="H7" s="19" t="s">
        <v>82</v>
      </c>
      <c r="I7" s="4" t="s">
        <v>40</v>
      </c>
    </row>
    <row r="8" spans="1:13" ht="19.5" thickBot="1">
      <c r="A8" s="2"/>
      <c r="B8" s="2"/>
      <c r="D8" s="21" t="s">
        <v>36</v>
      </c>
      <c r="E8" s="288" t="s">
        <v>176</v>
      </c>
      <c r="F8" s="288"/>
      <c r="G8" s="289"/>
      <c r="H8" s="19"/>
    </row>
    <row r="9" spans="1:13" ht="19.5" thickBot="1">
      <c r="A9" s="270"/>
      <c r="B9" s="270"/>
      <c r="D9" s="21" t="s">
        <v>36</v>
      </c>
      <c r="E9" s="303" t="s">
        <v>317</v>
      </c>
      <c r="F9" s="304"/>
      <c r="G9" s="305"/>
      <c r="H9" s="19" t="s">
        <v>82</v>
      </c>
    </row>
    <row r="10" spans="1:13" ht="19.5" thickBot="1">
      <c r="A10" t="s">
        <v>28</v>
      </c>
      <c r="D10" s="22" t="s">
        <v>37</v>
      </c>
      <c r="E10" s="288" t="s">
        <v>29</v>
      </c>
      <c r="F10" s="288"/>
      <c r="G10" s="289"/>
      <c r="H10" s="19" t="s">
        <v>82</v>
      </c>
    </row>
    <row r="11" spans="1:13" ht="19.5" thickBot="1">
      <c r="A11" s="295">
        <v>160</v>
      </c>
      <c r="B11" s="296"/>
      <c r="C11" t="s">
        <v>25</v>
      </c>
      <c r="D11" s="22" t="s">
        <v>37</v>
      </c>
      <c r="E11" s="288" t="s">
        <v>32</v>
      </c>
      <c r="F11" s="288"/>
      <c r="G11" s="289"/>
      <c r="H11" s="20" t="str">
        <f>IF(H5="","-",H5)</f>
        <v>-</v>
      </c>
    </row>
    <row r="12" spans="1:13" ht="19.5" thickBot="1">
      <c r="D12" s="22" t="s">
        <v>37</v>
      </c>
      <c r="E12" s="288" t="s">
        <v>30</v>
      </c>
      <c r="F12" s="288"/>
      <c r="G12" s="289"/>
      <c r="H12" s="19"/>
    </row>
    <row r="13" spans="1:13" ht="19.5" thickBot="1">
      <c r="D13" s="22" t="s">
        <v>37</v>
      </c>
      <c r="E13" s="288" t="s">
        <v>35</v>
      </c>
      <c r="F13" s="288"/>
      <c r="G13" s="289"/>
      <c r="H13" s="19" t="s">
        <v>82</v>
      </c>
    </row>
    <row r="14" spans="1:13" ht="19.5" thickBot="1">
      <c r="D14" s="22" t="s">
        <v>37</v>
      </c>
      <c r="E14" s="288" t="s">
        <v>34</v>
      </c>
      <c r="F14" s="288"/>
      <c r="G14" s="289"/>
      <c r="H14" s="20" t="str">
        <f>IF(H7="","-",H7)</f>
        <v>〇</v>
      </c>
    </row>
    <row r="16" spans="1:13" ht="19.5" thickBot="1">
      <c r="A16" s="180" t="s">
        <v>269</v>
      </c>
    </row>
    <row r="17" spans="1:9">
      <c r="A17" s="1"/>
      <c r="B17" s="1" t="s">
        <v>0</v>
      </c>
      <c r="C17" s="1" t="s">
        <v>1</v>
      </c>
      <c r="D17" s="1" t="s">
        <v>2</v>
      </c>
      <c r="E17" s="1" t="s">
        <v>3</v>
      </c>
      <c r="F17" s="1" t="s">
        <v>4</v>
      </c>
      <c r="G17" s="25" t="s">
        <v>5</v>
      </c>
      <c r="H17" s="26" t="s">
        <v>9</v>
      </c>
    </row>
    <row r="18" spans="1:9">
      <c r="A18" s="1" t="s">
        <v>6</v>
      </c>
      <c r="B18" s="108"/>
      <c r="C18" s="108"/>
      <c r="D18" s="12">
        <v>0</v>
      </c>
      <c r="E18" s="12">
        <v>5</v>
      </c>
      <c r="F18" s="12">
        <v>5</v>
      </c>
      <c r="G18" s="13">
        <v>5</v>
      </c>
      <c r="H18" s="157">
        <f>SUM(B18:G18)</f>
        <v>15</v>
      </c>
    </row>
    <row r="19" spans="1:9">
      <c r="A19" s="1" t="s">
        <v>7</v>
      </c>
      <c r="B19" s="108"/>
      <c r="C19" s="108"/>
      <c r="D19" s="108"/>
      <c r="E19" s="12">
        <v>22</v>
      </c>
      <c r="F19" s="12">
        <v>28</v>
      </c>
      <c r="G19" s="13">
        <v>30</v>
      </c>
      <c r="H19" s="157">
        <f>SUM(B19:G19)</f>
        <v>80</v>
      </c>
    </row>
    <row r="20" spans="1:9" ht="19.5" thickBot="1">
      <c r="A20" s="23" t="s">
        <v>8</v>
      </c>
      <c r="B20" s="14">
        <v>6</v>
      </c>
      <c r="C20" s="14">
        <v>9</v>
      </c>
      <c r="D20" s="14">
        <v>15</v>
      </c>
      <c r="E20" s="109"/>
      <c r="F20" s="109"/>
      <c r="G20" s="110"/>
      <c r="H20" s="158">
        <f>SUM(B20:G20)</f>
        <v>30</v>
      </c>
    </row>
    <row r="21" spans="1:9" ht="19.5" thickBot="1">
      <c r="A21" s="24" t="s">
        <v>9</v>
      </c>
      <c r="B21" s="160">
        <f>SUM(B18:B20)</f>
        <v>6</v>
      </c>
      <c r="C21" s="160">
        <f t="shared" ref="C21:G21" si="0">SUM(C18:C20)</f>
        <v>9</v>
      </c>
      <c r="D21" s="160">
        <f t="shared" si="0"/>
        <v>15</v>
      </c>
      <c r="E21" s="160">
        <f t="shared" si="0"/>
        <v>27</v>
      </c>
      <c r="F21" s="160">
        <f t="shared" si="0"/>
        <v>33</v>
      </c>
      <c r="G21" s="161">
        <f t="shared" si="0"/>
        <v>35</v>
      </c>
      <c r="H21" s="159">
        <f>SUM(B21:G21)</f>
        <v>125</v>
      </c>
    </row>
    <row r="24" spans="1:9" ht="19.5" thickBot="1">
      <c r="A24" t="s">
        <v>251</v>
      </c>
    </row>
    <row r="25" spans="1:9">
      <c r="A25" s="276" t="s">
        <v>248</v>
      </c>
      <c r="B25" s="277"/>
      <c r="C25" s="277"/>
      <c r="D25" s="277"/>
      <c r="E25" s="277"/>
      <c r="F25" s="277"/>
      <c r="G25" s="278"/>
      <c r="H25" s="150">
        <v>15</v>
      </c>
      <c r="I25"/>
    </row>
    <row r="26" spans="1:9">
      <c r="A26" s="279" t="s">
        <v>249</v>
      </c>
      <c r="B26" s="280"/>
      <c r="C26" s="280"/>
      <c r="D26" s="280"/>
      <c r="E26" s="280"/>
      <c r="F26" s="280"/>
      <c r="G26" s="281"/>
      <c r="H26" s="151">
        <v>80</v>
      </c>
      <c r="I26"/>
    </row>
    <row r="27" spans="1:9" ht="19.5" thickBot="1">
      <c r="A27" s="282" t="s">
        <v>250</v>
      </c>
      <c r="B27" s="283"/>
      <c r="C27" s="283"/>
      <c r="D27" s="283"/>
      <c r="E27" s="283"/>
      <c r="F27" s="283"/>
      <c r="G27" s="284"/>
      <c r="H27" s="152">
        <v>30</v>
      </c>
      <c r="I27"/>
    </row>
    <row r="28" spans="1:9" ht="19.5" thickBot="1">
      <c r="A28" s="285" t="s">
        <v>9</v>
      </c>
      <c r="B28" s="286"/>
      <c r="C28" s="286"/>
      <c r="D28" s="286"/>
      <c r="E28" s="286"/>
      <c r="F28" s="286"/>
      <c r="G28" s="287"/>
      <c r="H28" s="153">
        <f>SUM(H25:H27)</f>
        <v>125</v>
      </c>
      <c r="I28"/>
    </row>
  </sheetData>
  <mergeCells count="20">
    <mergeCell ref="E12:G12"/>
    <mergeCell ref="E8:G8"/>
    <mergeCell ref="A1:G1"/>
    <mergeCell ref="A4:B4"/>
    <mergeCell ref="A11:B11"/>
    <mergeCell ref="A7:C7"/>
    <mergeCell ref="E3:H3"/>
    <mergeCell ref="E4:G4"/>
    <mergeCell ref="E5:G5"/>
    <mergeCell ref="E6:G6"/>
    <mergeCell ref="E7:G7"/>
    <mergeCell ref="E10:G10"/>
    <mergeCell ref="E11:G11"/>
    <mergeCell ref="E9:G9"/>
    <mergeCell ref="A25:G25"/>
    <mergeCell ref="A26:G26"/>
    <mergeCell ref="A27:G27"/>
    <mergeCell ref="A28:G28"/>
    <mergeCell ref="E13:G13"/>
    <mergeCell ref="E14:G14"/>
  </mergeCells>
  <phoneticPr fontId="1"/>
  <dataValidations count="1">
    <dataValidation type="list" allowBlank="1" showInputMessage="1" showErrorMessage="1" sqref="H12:H13 H4:H10">
      <formula1>"〇"</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307"/>
  <sheetViews>
    <sheetView view="pageBreakPreview" zoomScale="130" zoomScaleNormal="100" zoomScaleSheetLayoutView="130" workbookViewId="0">
      <selection activeCell="K6" sqref="K6"/>
    </sheetView>
  </sheetViews>
  <sheetFormatPr defaultRowHeight="18.75"/>
  <cols>
    <col min="1" max="1" width="3.875" customWidth="1"/>
    <col min="2" max="2" width="8.375" customWidth="1"/>
    <col min="3" max="3" width="24.75" customWidth="1"/>
    <col min="4" max="4" width="12.625" customWidth="1"/>
    <col min="7" max="7" width="12.625" customWidth="1"/>
    <col min="8" max="8" width="2.125" customWidth="1"/>
    <col min="9" max="9" width="8.375" customWidth="1"/>
    <col min="10" max="15" width="3.5" customWidth="1"/>
    <col min="16" max="16" width="5" customWidth="1"/>
    <col min="17" max="17" width="7.5" customWidth="1"/>
  </cols>
  <sheetData>
    <row r="1" spans="1:17" ht="24">
      <c r="A1" s="311" t="s">
        <v>170</v>
      </c>
      <c r="B1" s="311"/>
      <c r="C1" s="311"/>
      <c r="D1" s="311"/>
      <c r="E1" s="311"/>
      <c r="F1" s="311"/>
      <c r="G1" s="8"/>
    </row>
    <row r="2" spans="1:17" ht="9" customHeight="1">
      <c r="A2" s="7"/>
      <c r="B2" s="8"/>
      <c r="C2" s="8"/>
      <c r="D2" s="8"/>
      <c r="E2" s="8"/>
      <c r="F2" s="8"/>
      <c r="G2" s="149">
        <f>改修履歴!A1</f>
        <v>1</v>
      </c>
    </row>
    <row r="3" spans="1:17" ht="19.5" thickBot="1">
      <c r="A3" s="3" t="s">
        <v>38</v>
      </c>
      <c r="F3" s="312" t="s">
        <v>243</v>
      </c>
      <c r="G3" s="312"/>
    </row>
    <row r="4" spans="1:17" ht="19.5" thickBot="1">
      <c r="A4" s="313" t="str">
        <f>①基本情報!A7</f>
        <v>記載例認定こども園</v>
      </c>
      <c r="B4" s="314"/>
      <c r="C4" s="315"/>
      <c r="D4" s="126"/>
      <c r="F4" s="309">
        <f>①基本情報!A4</f>
        <v>45383</v>
      </c>
      <c r="G4" s="310"/>
    </row>
    <row r="5" spans="1:17" ht="8.25" customHeight="1"/>
    <row r="6" spans="1:17">
      <c r="F6" s="9" t="s">
        <v>24</v>
      </c>
      <c r="G6" s="18">
        <v>45383</v>
      </c>
    </row>
    <row r="7" spans="1:17" ht="19.5" thickBot="1">
      <c r="A7" s="5" t="s">
        <v>17</v>
      </c>
      <c r="B7" s="1" t="s">
        <v>23</v>
      </c>
      <c r="C7" s="1" t="s">
        <v>18</v>
      </c>
      <c r="D7" s="1" t="s">
        <v>19</v>
      </c>
      <c r="E7" s="1" t="s">
        <v>20</v>
      </c>
      <c r="F7" s="1" t="s">
        <v>21</v>
      </c>
      <c r="G7" s="1" t="s">
        <v>22</v>
      </c>
    </row>
    <row r="8" spans="1:17" ht="12" customHeight="1" thickBot="1">
      <c r="A8" s="5">
        <v>1</v>
      </c>
      <c r="B8" s="11">
        <f>IF(D8&gt;=$G$6,0,IF(D8="","",(DATEDIF(D8,$G$6,"Y"))))</f>
        <v>3</v>
      </c>
      <c r="C8" s="15" t="s">
        <v>322</v>
      </c>
      <c r="D8" s="16">
        <v>44044</v>
      </c>
      <c r="E8" s="15" t="s">
        <v>323</v>
      </c>
      <c r="F8" s="15"/>
      <c r="G8" s="17"/>
      <c r="I8" s="30"/>
      <c r="J8" s="30">
        <v>0</v>
      </c>
      <c r="K8" s="30">
        <v>1</v>
      </c>
      <c r="L8" s="30">
        <v>2</v>
      </c>
      <c r="M8" s="30">
        <v>3</v>
      </c>
      <c r="N8" s="30">
        <v>4</v>
      </c>
      <c r="O8" s="31">
        <v>5</v>
      </c>
      <c r="P8" s="32" t="s">
        <v>9</v>
      </c>
      <c r="Q8" s="43"/>
    </row>
    <row r="9" spans="1:17" ht="12" customHeight="1" thickBot="1">
      <c r="A9" s="5">
        <v>2</v>
      </c>
      <c r="B9" s="11">
        <f t="shared" ref="B9:B72" si="0">IF(D9&gt;=$G$6,0,IF(D9="","",(DATEDIF(D9,$G$6,"Y"))))</f>
        <v>3</v>
      </c>
      <c r="C9" s="15" t="s">
        <v>322</v>
      </c>
      <c r="D9" s="16">
        <v>44045</v>
      </c>
      <c r="E9" s="15" t="s">
        <v>323</v>
      </c>
      <c r="F9" s="15"/>
      <c r="G9" s="17"/>
      <c r="I9" s="30" t="s">
        <v>207</v>
      </c>
      <c r="J9" s="33"/>
      <c r="K9" s="33"/>
      <c r="L9" s="33">
        <f>COUNTIFS($B$8:$B$307,L$8,$E$8:$E$307,$I9)</f>
        <v>0</v>
      </c>
      <c r="M9" s="33">
        <f>COUNTIFS($B$8:$B$307,M$8,$E$8:$E$307,$I9)</f>
        <v>4</v>
      </c>
      <c r="N9" s="33">
        <f>COUNTIFS($B$8:$B$307,N$8,$E$8:$E$307,$I9)</f>
        <v>4</v>
      </c>
      <c r="O9" s="33">
        <f>COUNTIFS($B$8:$B$307,O$8,$E$8:$E$307,$I9)</f>
        <v>6</v>
      </c>
      <c r="P9" s="34">
        <f>SUM(J9:O9)</f>
        <v>14</v>
      </c>
      <c r="Q9" s="76">
        <f>P9/①基本情報!H18</f>
        <v>0.93333333333333335</v>
      </c>
    </row>
    <row r="10" spans="1:17" ht="12" customHeight="1">
      <c r="A10" s="5">
        <v>3</v>
      </c>
      <c r="B10" s="11">
        <f t="shared" si="0"/>
        <v>3</v>
      </c>
      <c r="C10" s="15" t="s">
        <v>322</v>
      </c>
      <c r="D10" s="16">
        <v>44046</v>
      </c>
      <c r="E10" s="15" t="s">
        <v>323</v>
      </c>
      <c r="F10" s="15"/>
      <c r="G10" s="17"/>
      <c r="I10" s="30" t="s">
        <v>208</v>
      </c>
      <c r="J10" s="33"/>
      <c r="K10" s="33"/>
      <c r="L10" s="33"/>
      <c r="M10" s="33">
        <f>COUNTIFS($B$8:$B$307,M$8,$E$8:$E$307,$I10)</f>
        <v>25</v>
      </c>
      <c r="N10" s="33">
        <f>COUNTIFS($B$8:$B$307,N$8,$E$8:$E$307,$I10)</f>
        <v>22</v>
      </c>
      <c r="O10" s="33">
        <f>COUNTIFS($B$8:$B$307,O$8,$E$8:$E$307,$I10)</f>
        <v>30</v>
      </c>
      <c r="P10" s="34">
        <f>SUM(J10:O10)</f>
        <v>77</v>
      </c>
      <c r="Q10" s="306">
        <f>(SUM(P10:P12)/SUM(①基本情報!H19:H20))</f>
        <v>0.97272727272727277</v>
      </c>
    </row>
    <row r="11" spans="1:17" ht="12" customHeight="1">
      <c r="A11" s="5">
        <v>4</v>
      </c>
      <c r="B11" s="11">
        <f t="shared" si="0"/>
        <v>3</v>
      </c>
      <c r="C11" s="15" t="s">
        <v>322</v>
      </c>
      <c r="D11" s="16">
        <v>44047</v>
      </c>
      <c r="E11" s="15" t="s">
        <v>323</v>
      </c>
      <c r="F11" s="15"/>
      <c r="G11" s="17"/>
      <c r="I11" s="30" t="s">
        <v>208</v>
      </c>
      <c r="J11" s="33"/>
      <c r="K11" s="33"/>
      <c r="L11" s="33">
        <f>COUNTIFS($B$8:$B$307,L$8,$E$8:$E$307,$I11)</f>
        <v>0</v>
      </c>
      <c r="M11" s="36"/>
      <c r="N11" s="36"/>
      <c r="O11" s="37"/>
      <c r="P11" s="34">
        <f>SUM(J11:O11)</f>
        <v>0</v>
      </c>
      <c r="Q11" s="307"/>
    </row>
    <row r="12" spans="1:17" ht="12" customHeight="1" thickBot="1">
      <c r="A12" s="5">
        <v>5</v>
      </c>
      <c r="B12" s="11">
        <f t="shared" si="0"/>
        <v>4</v>
      </c>
      <c r="C12" s="15" t="s">
        <v>322</v>
      </c>
      <c r="D12" s="16">
        <v>43713</v>
      </c>
      <c r="E12" s="15" t="s">
        <v>323</v>
      </c>
      <c r="F12" s="15"/>
      <c r="G12" s="17"/>
      <c r="I12" s="35" t="s">
        <v>209</v>
      </c>
      <c r="J12" s="33">
        <f>COUNTIFS($B$8:$B$307,J$8,$E$8:$E$307,$I12)</f>
        <v>6</v>
      </c>
      <c r="K12" s="33">
        <f>COUNTIFS($B$8:$B$307,K$8,$E$8:$E$307,$I12)</f>
        <v>12</v>
      </c>
      <c r="L12" s="33">
        <f>COUNTIFS($B$8:$B$307,L$8,$E$8:$E$307,$I12)</f>
        <v>12</v>
      </c>
      <c r="M12" s="36"/>
      <c r="N12" s="36"/>
      <c r="O12" s="37"/>
      <c r="P12" s="38">
        <f t="shared" ref="P12:P13" si="1">SUM(J12:O12)</f>
        <v>30</v>
      </c>
      <c r="Q12" s="308"/>
    </row>
    <row r="13" spans="1:17" ht="12" customHeight="1" thickBot="1">
      <c r="A13" s="5">
        <v>6</v>
      </c>
      <c r="B13" s="11">
        <f t="shared" si="0"/>
        <v>4</v>
      </c>
      <c r="C13" s="15" t="s">
        <v>322</v>
      </c>
      <c r="D13" s="16">
        <v>43714</v>
      </c>
      <c r="E13" s="15" t="s">
        <v>323</v>
      </c>
      <c r="F13" s="15"/>
      <c r="G13" s="17"/>
      <c r="I13" s="39" t="s">
        <v>9</v>
      </c>
      <c r="J13" s="40">
        <f t="shared" ref="J13:O13" si="2">SUM(J9:J12)</f>
        <v>6</v>
      </c>
      <c r="K13" s="40">
        <f t="shared" si="2"/>
        <v>12</v>
      </c>
      <c r="L13" s="40">
        <f t="shared" si="2"/>
        <v>12</v>
      </c>
      <c r="M13" s="40">
        <f t="shared" si="2"/>
        <v>29</v>
      </c>
      <c r="N13" s="40">
        <f t="shared" si="2"/>
        <v>26</v>
      </c>
      <c r="O13" s="41">
        <f t="shared" si="2"/>
        <v>36</v>
      </c>
      <c r="P13" s="42">
        <f t="shared" si="1"/>
        <v>121</v>
      </c>
      <c r="Q13" s="43"/>
    </row>
    <row r="14" spans="1:17" ht="12" customHeight="1">
      <c r="A14" s="5">
        <v>7</v>
      </c>
      <c r="B14" s="11">
        <f t="shared" si="0"/>
        <v>4</v>
      </c>
      <c r="C14" s="15" t="s">
        <v>322</v>
      </c>
      <c r="D14" s="16">
        <v>43715</v>
      </c>
      <c r="E14" s="15" t="s">
        <v>323</v>
      </c>
      <c r="F14" s="15"/>
      <c r="G14" s="17"/>
    </row>
    <row r="15" spans="1:17" ht="12" customHeight="1">
      <c r="A15" s="5">
        <v>8</v>
      </c>
      <c r="B15" s="11">
        <f t="shared" si="0"/>
        <v>4</v>
      </c>
      <c r="C15" s="15" t="s">
        <v>322</v>
      </c>
      <c r="D15" s="16">
        <v>43716</v>
      </c>
      <c r="E15" s="15" t="s">
        <v>323</v>
      </c>
      <c r="F15" s="15"/>
      <c r="G15" s="17"/>
    </row>
    <row r="16" spans="1:17" ht="12" customHeight="1">
      <c r="A16" s="5">
        <v>9</v>
      </c>
      <c r="B16" s="11">
        <f t="shared" si="0"/>
        <v>5</v>
      </c>
      <c r="C16" s="15" t="s">
        <v>322</v>
      </c>
      <c r="D16" s="16">
        <v>43382</v>
      </c>
      <c r="E16" s="15" t="s">
        <v>323</v>
      </c>
      <c r="F16" s="15"/>
      <c r="G16" s="17"/>
    </row>
    <row r="17" spans="1:7" ht="12" customHeight="1">
      <c r="A17" s="5">
        <v>10</v>
      </c>
      <c r="B17" s="11">
        <f t="shared" si="0"/>
        <v>5</v>
      </c>
      <c r="C17" s="15" t="s">
        <v>322</v>
      </c>
      <c r="D17" s="16">
        <v>43383</v>
      </c>
      <c r="E17" s="15" t="s">
        <v>323</v>
      </c>
      <c r="F17" s="15"/>
      <c r="G17" s="17"/>
    </row>
    <row r="18" spans="1:7" ht="12" customHeight="1">
      <c r="A18" s="5">
        <v>11</v>
      </c>
      <c r="B18" s="11">
        <f t="shared" si="0"/>
        <v>5</v>
      </c>
      <c r="C18" s="15" t="s">
        <v>322</v>
      </c>
      <c r="D18" s="16">
        <v>43384</v>
      </c>
      <c r="E18" s="15" t="s">
        <v>323</v>
      </c>
      <c r="F18" s="15"/>
      <c r="G18" s="17"/>
    </row>
    <row r="19" spans="1:7" ht="12" customHeight="1">
      <c r="A19" s="5">
        <v>12</v>
      </c>
      <c r="B19" s="11">
        <f t="shared" si="0"/>
        <v>5</v>
      </c>
      <c r="C19" s="15" t="s">
        <v>322</v>
      </c>
      <c r="D19" s="16">
        <v>43385</v>
      </c>
      <c r="E19" s="15" t="s">
        <v>323</v>
      </c>
      <c r="F19" s="15"/>
      <c r="G19" s="17"/>
    </row>
    <row r="20" spans="1:7" ht="12" customHeight="1">
      <c r="A20" s="5">
        <v>13</v>
      </c>
      <c r="B20" s="11">
        <f t="shared" si="0"/>
        <v>5</v>
      </c>
      <c r="C20" s="15" t="s">
        <v>322</v>
      </c>
      <c r="D20" s="16">
        <v>43386</v>
      </c>
      <c r="E20" s="15" t="s">
        <v>323</v>
      </c>
      <c r="F20" s="15"/>
      <c r="G20" s="17"/>
    </row>
    <row r="21" spans="1:7" ht="12" customHeight="1">
      <c r="A21" s="5">
        <v>14</v>
      </c>
      <c r="B21" s="11">
        <f t="shared" si="0"/>
        <v>5</v>
      </c>
      <c r="C21" s="15" t="s">
        <v>322</v>
      </c>
      <c r="D21" s="16">
        <v>43387</v>
      </c>
      <c r="E21" s="15" t="s">
        <v>323</v>
      </c>
      <c r="F21" s="15"/>
      <c r="G21" s="17"/>
    </row>
    <row r="22" spans="1:7" ht="12" customHeight="1">
      <c r="A22" s="5">
        <v>15</v>
      </c>
      <c r="B22" s="11">
        <f t="shared" si="0"/>
        <v>3</v>
      </c>
      <c r="C22" s="15" t="s">
        <v>322</v>
      </c>
      <c r="D22" s="16">
        <v>43947</v>
      </c>
      <c r="E22" s="15" t="s">
        <v>318</v>
      </c>
      <c r="F22" s="15" t="s">
        <v>319</v>
      </c>
      <c r="G22" s="17"/>
    </row>
    <row r="23" spans="1:7" ht="12" customHeight="1">
      <c r="A23" s="5">
        <v>16</v>
      </c>
      <c r="B23" s="11">
        <f t="shared" si="0"/>
        <v>3</v>
      </c>
      <c r="C23" s="15" t="s">
        <v>322</v>
      </c>
      <c r="D23" s="16">
        <v>43948</v>
      </c>
      <c r="E23" s="15" t="s">
        <v>318</v>
      </c>
      <c r="F23" s="15" t="s">
        <v>319</v>
      </c>
      <c r="G23" s="17"/>
    </row>
    <row r="24" spans="1:7" ht="12" customHeight="1">
      <c r="A24" s="5">
        <v>17</v>
      </c>
      <c r="B24" s="11">
        <f t="shared" si="0"/>
        <v>3</v>
      </c>
      <c r="C24" s="15" t="s">
        <v>322</v>
      </c>
      <c r="D24" s="16">
        <v>43949</v>
      </c>
      <c r="E24" s="15" t="s">
        <v>318</v>
      </c>
      <c r="F24" s="15" t="s">
        <v>319</v>
      </c>
      <c r="G24" s="17"/>
    </row>
    <row r="25" spans="1:7" ht="12" customHeight="1">
      <c r="A25" s="5">
        <v>18</v>
      </c>
      <c r="B25" s="11">
        <f t="shared" si="0"/>
        <v>3</v>
      </c>
      <c r="C25" s="15" t="s">
        <v>322</v>
      </c>
      <c r="D25" s="16">
        <v>43950</v>
      </c>
      <c r="E25" s="15" t="s">
        <v>318</v>
      </c>
      <c r="F25" s="15" t="s">
        <v>319</v>
      </c>
      <c r="G25" s="17"/>
    </row>
    <row r="26" spans="1:7" ht="12" customHeight="1">
      <c r="A26" s="5">
        <v>19</v>
      </c>
      <c r="B26" s="11">
        <f t="shared" si="0"/>
        <v>3</v>
      </c>
      <c r="C26" s="15" t="s">
        <v>322</v>
      </c>
      <c r="D26" s="16">
        <v>43951</v>
      </c>
      <c r="E26" s="15" t="s">
        <v>318</v>
      </c>
      <c r="F26" s="15" t="s">
        <v>319</v>
      </c>
      <c r="G26" s="17"/>
    </row>
    <row r="27" spans="1:7" ht="12" customHeight="1">
      <c r="A27" s="5">
        <v>20</v>
      </c>
      <c r="B27" s="11">
        <f t="shared" si="0"/>
        <v>3</v>
      </c>
      <c r="C27" s="15" t="s">
        <v>322</v>
      </c>
      <c r="D27" s="16">
        <v>43952</v>
      </c>
      <c r="E27" s="15" t="s">
        <v>318</v>
      </c>
      <c r="F27" s="15" t="s">
        <v>319</v>
      </c>
      <c r="G27" s="17"/>
    </row>
    <row r="28" spans="1:7" ht="12" customHeight="1">
      <c r="A28" s="5">
        <v>21</v>
      </c>
      <c r="B28" s="11">
        <f t="shared" si="0"/>
        <v>3</v>
      </c>
      <c r="C28" s="15" t="s">
        <v>322</v>
      </c>
      <c r="D28" s="16">
        <v>43953</v>
      </c>
      <c r="E28" s="15" t="s">
        <v>318</v>
      </c>
      <c r="F28" s="15" t="s">
        <v>319</v>
      </c>
      <c r="G28" s="17"/>
    </row>
    <row r="29" spans="1:7" ht="12" customHeight="1">
      <c r="A29" s="5">
        <v>22</v>
      </c>
      <c r="B29" s="11">
        <f t="shared" si="0"/>
        <v>3</v>
      </c>
      <c r="C29" s="15" t="s">
        <v>322</v>
      </c>
      <c r="D29" s="16">
        <v>43954</v>
      </c>
      <c r="E29" s="15" t="s">
        <v>318</v>
      </c>
      <c r="F29" s="15" t="s">
        <v>319</v>
      </c>
      <c r="G29" s="17"/>
    </row>
    <row r="30" spans="1:7" ht="12" customHeight="1">
      <c r="A30" s="5">
        <v>23</v>
      </c>
      <c r="B30" s="11">
        <f t="shared" si="0"/>
        <v>3</v>
      </c>
      <c r="C30" s="15" t="s">
        <v>322</v>
      </c>
      <c r="D30" s="16">
        <v>43955</v>
      </c>
      <c r="E30" s="15" t="s">
        <v>318</v>
      </c>
      <c r="F30" s="15" t="s">
        <v>319</v>
      </c>
      <c r="G30" s="17"/>
    </row>
    <row r="31" spans="1:7" ht="12" customHeight="1">
      <c r="A31" s="5">
        <v>24</v>
      </c>
      <c r="B31" s="11">
        <f t="shared" si="0"/>
        <v>3</v>
      </c>
      <c r="C31" s="15" t="s">
        <v>322</v>
      </c>
      <c r="D31" s="16">
        <v>43956</v>
      </c>
      <c r="E31" s="15" t="s">
        <v>318</v>
      </c>
      <c r="F31" s="15" t="s">
        <v>319</v>
      </c>
      <c r="G31" s="17"/>
    </row>
    <row r="32" spans="1:7" ht="12" customHeight="1">
      <c r="A32" s="5">
        <v>25</v>
      </c>
      <c r="B32" s="11">
        <f t="shared" si="0"/>
        <v>3</v>
      </c>
      <c r="C32" s="15" t="s">
        <v>322</v>
      </c>
      <c r="D32" s="16">
        <v>43957</v>
      </c>
      <c r="E32" s="15" t="s">
        <v>318</v>
      </c>
      <c r="F32" s="15" t="s">
        <v>319</v>
      </c>
      <c r="G32" s="17"/>
    </row>
    <row r="33" spans="1:7" ht="12" customHeight="1">
      <c r="A33" s="5">
        <v>26</v>
      </c>
      <c r="B33" s="11">
        <f t="shared" si="0"/>
        <v>3</v>
      </c>
      <c r="C33" s="15" t="s">
        <v>322</v>
      </c>
      <c r="D33" s="16">
        <v>43958</v>
      </c>
      <c r="E33" s="15" t="s">
        <v>318</v>
      </c>
      <c r="F33" s="15" t="s">
        <v>319</v>
      </c>
      <c r="G33" s="17"/>
    </row>
    <row r="34" spans="1:7" ht="12" customHeight="1">
      <c r="A34" s="5">
        <v>27</v>
      </c>
      <c r="B34" s="11">
        <f t="shared" si="0"/>
        <v>3</v>
      </c>
      <c r="C34" s="15" t="s">
        <v>322</v>
      </c>
      <c r="D34" s="16">
        <v>43959</v>
      </c>
      <c r="E34" s="15" t="s">
        <v>318</v>
      </c>
      <c r="F34" s="15" t="s">
        <v>319</v>
      </c>
      <c r="G34" s="17"/>
    </row>
    <row r="35" spans="1:7" ht="12" customHeight="1">
      <c r="A35" s="5">
        <v>28</v>
      </c>
      <c r="B35" s="11">
        <f t="shared" si="0"/>
        <v>3</v>
      </c>
      <c r="C35" s="15" t="s">
        <v>322</v>
      </c>
      <c r="D35" s="16">
        <v>43960</v>
      </c>
      <c r="E35" s="15" t="s">
        <v>318</v>
      </c>
      <c r="F35" s="15" t="s">
        <v>319</v>
      </c>
      <c r="G35" s="17"/>
    </row>
    <row r="36" spans="1:7" ht="12" customHeight="1">
      <c r="A36" s="5">
        <v>29</v>
      </c>
      <c r="B36" s="11">
        <f t="shared" si="0"/>
        <v>3</v>
      </c>
      <c r="C36" s="15" t="s">
        <v>322</v>
      </c>
      <c r="D36" s="16">
        <v>43961</v>
      </c>
      <c r="E36" s="15" t="s">
        <v>318</v>
      </c>
      <c r="F36" s="15" t="s">
        <v>319</v>
      </c>
      <c r="G36" s="17"/>
    </row>
    <row r="37" spans="1:7" ht="12" customHeight="1">
      <c r="A37" s="5">
        <v>30</v>
      </c>
      <c r="B37" s="11">
        <f t="shared" si="0"/>
        <v>3</v>
      </c>
      <c r="C37" s="15" t="s">
        <v>322</v>
      </c>
      <c r="D37" s="16">
        <v>43962</v>
      </c>
      <c r="E37" s="15" t="s">
        <v>318</v>
      </c>
      <c r="F37" s="15" t="s">
        <v>319</v>
      </c>
      <c r="G37" s="17"/>
    </row>
    <row r="38" spans="1:7" ht="12" customHeight="1">
      <c r="A38" s="5">
        <v>31</v>
      </c>
      <c r="B38" s="11">
        <f t="shared" si="0"/>
        <v>3</v>
      </c>
      <c r="C38" s="15" t="s">
        <v>322</v>
      </c>
      <c r="D38" s="16">
        <v>43963</v>
      </c>
      <c r="E38" s="15" t="s">
        <v>318</v>
      </c>
      <c r="F38" s="15" t="s">
        <v>319</v>
      </c>
      <c r="G38" s="17"/>
    </row>
    <row r="39" spans="1:7" ht="12" customHeight="1">
      <c r="A39" s="5">
        <v>32</v>
      </c>
      <c r="B39" s="11">
        <f t="shared" si="0"/>
        <v>3</v>
      </c>
      <c r="C39" s="15" t="s">
        <v>322</v>
      </c>
      <c r="D39" s="16">
        <v>43964</v>
      </c>
      <c r="E39" s="15" t="s">
        <v>318</v>
      </c>
      <c r="F39" s="15" t="s">
        <v>319</v>
      </c>
      <c r="G39" s="17"/>
    </row>
    <row r="40" spans="1:7" ht="12" customHeight="1">
      <c r="A40" s="5">
        <v>33</v>
      </c>
      <c r="B40" s="11">
        <f t="shared" si="0"/>
        <v>3</v>
      </c>
      <c r="C40" s="15" t="s">
        <v>322</v>
      </c>
      <c r="D40" s="16">
        <v>43965</v>
      </c>
      <c r="E40" s="15" t="s">
        <v>318</v>
      </c>
      <c r="F40" s="15" t="s">
        <v>319</v>
      </c>
      <c r="G40" s="17"/>
    </row>
    <row r="41" spans="1:7" ht="12" customHeight="1">
      <c r="A41" s="5">
        <v>34</v>
      </c>
      <c r="B41" s="11">
        <f t="shared" si="0"/>
        <v>3</v>
      </c>
      <c r="C41" s="15" t="s">
        <v>322</v>
      </c>
      <c r="D41" s="16">
        <v>43966</v>
      </c>
      <c r="E41" s="15" t="s">
        <v>318</v>
      </c>
      <c r="F41" s="15" t="s">
        <v>319</v>
      </c>
      <c r="G41" s="17"/>
    </row>
    <row r="42" spans="1:7" ht="12" customHeight="1">
      <c r="A42" s="5">
        <v>35</v>
      </c>
      <c r="B42" s="11">
        <f t="shared" si="0"/>
        <v>3</v>
      </c>
      <c r="C42" s="15" t="s">
        <v>322</v>
      </c>
      <c r="D42" s="16">
        <v>43967</v>
      </c>
      <c r="E42" s="15" t="s">
        <v>318</v>
      </c>
      <c r="F42" s="15" t="s">
        <v>324</v>
      </c>
      <c r="G42" s="17"/>
    </row>
    <row r="43" spans="1:7" ht="12" customHeight="1">
      <c r="A43" s="5">
        <v>36</v>
      </c>
      <c r="B43" s="11">
        <f t="shared" si="0"/>
        <v>3</v>
      </c>
      <c r="C43" s="15" t="s">
        <v>322</v>
      </c>
      <c r="D43" s="16">
        <v>43968</v>
      </c>
      <c r="E43" s="15" t="s">
        <v>318</v>
      </c>
      <c r="F43" s="15" t="s">
        <v>324</v>
      </c>
      <c r="G43" s="17"/>
    </row>
    <row r="44" spans="1:7" ht="12" customHeight="1">
      <c r="A44" s="5">
        <v>37</v>
      </c>
      <c r="B44" s="11">
        <f t="shared" si="0"/>
        <v>3</v>
      </c>
      <c r="C44" s="15" t="s">
        <v>322</v>
      </c>
      <c r="D44" s="16">
        <v>43969</v>
      </c>
      <c r="E44" s="15" t="s">
        <v>318</v>
      </c>
      <c r="F44" s="15" t="s">
        <v>324</v>
      </c>
      <c r="G44" s="17"/>
    </row>
    <row r="45" spans="1:7" ht="12" customHeight="1">
      <c r="A45" s="5">
        <v>38</v>
      </c>
      <c r="B45" s="11">
        <f t="shared" si="0"/>
        <v>3</v>
      </c>
      <c r="C45" s="15" t="s">
        <v>322</v>
      </c>
      <c r="D45" s="16">
        <v>43970</v>
      </c>
      <c r="E45" s="15" t="s">
        <v>318</v>
      </c>
      <c r="F45" s="15" t="s">
        <v>324</v>
      </c>
      <c r="G45" s="17"/>
    </row>
    <row r="46" spans="1:7" ht="12" customHeight="1">
      <c r="A46" s="5">
        <v>39</v>
      </c>
      <c r="B46" s="11">
        <f t="shared" si="0"/>
        <v>3</v>
      </c>
      <c r="C46" s="15" t="s">
        <v>322</v>
      </c>
      <c r="D46" s="16">
        <v>43971</v>
      </c>
      <c r="E46" s="15" t="s">
        <v>318</v>
      </c>
      <c r="F46" s="15" t="s">
        <v>324</v>
      </c>
      <c r="G46" s="17"/>
    </row>
    <row r="47" spans="1:7" ht="12" customHeight="1">
      <c r="A47" s="5">
        <v>40</v>
      </c>
      <c r="B47" s="11">
        <f t="shared" si="0"/>
        <v>4</v>
      </c>
      <c r="C47" s="15" t="s">
        <v>322</v>
      </c>
      <c r="D47" s="16">
        <v>43617</v>
      </c>
      <c r="E47" s="15" t="s">
        <v>318</v>
      </c>
      <c r="F47" s="15" t="s">
        <v>319</v>
      </c>
      <c r="G47" s="17"/>
    </row>
    <row r="48" spans="1:7" ht="12" customHeight="1">
      <c r="A48" s="5">
        <v>41</v>
      </c>
      <c r="B48" s="11">
        <f t="shared" si="0"/>
        <v>4</v>
      </c>
      <c r="C48" s="15" t="s">
        <v>322</v>
      </c>
      <c r="D48" s="16">
        <v>43618</v>
      </c>
      <c r="E48" s="15" t="s">
        <v>318</v>
      </c>
      <c r="F48" s="15" t="s">
        <v>319</v>
      </c>
      <c r="G48" s="17"/>
    </row>
    <row r="49" spans="1:7" ht="12" customHeight="1">
      <c r="A49" s="5">
        <v>42</v>
      </c>
      <c r="B49" s="11">
        <f t="shared" si="0"/>
        <v>4</v>
      </c>
      <c r="C49" s="15" t="s">
        <v>322</v>
      </c>
      <c r="D49" s="16">
        <v>43619</v>
      </c>
      <c r="E49" s="15" t="s">
        <v>318</v>
      </c>
      <c r="F49" s="15" t="s">
        <v>319</v>
      </c>
      <c r="G49" s="17"/>
    </row>
    <row r="50" spans="1:7" ht="12" customHeight="1">
      <c r="A50" s="5">
        <v>43</v>
      </c>
      <c r="B50" s="11">
        <f t="shared" si="0"/>
        <v>4</v>
      </c>
      <c r="C50" s="15" t="s">
        <v>322</v>
      </c>
      <c r="D50" s="16">
        <v>43620</v>
      </c>
      <c r="E50" s="15" t="s">
        <v>318</v>
      </c>
      <c r="F50" s="15" t="s">
        <v>319</v>
      </c>
      <c r="G50" s="17"/>
    </row>
    <row r="51" spans="1:7" ht="12" customHeight="1">
      <c r="A51" s="5">
        <v>44</v>
      </c>
      <c r="B51" s="11">
        <f t="shared" si="0"/>
        <v>4</v>
      </c>
      <c r="C51" s="15" t="s">
        <v>322</v>
      </c>
      <c r="D51" s="16">
        <v>43621</v>
      </c>
      <c r="E51" s="15" t="s">
        <v>318</v>
      </c>
      <c r="F51" s="15" t="s">
        <v>319</v>
      </c>
      <c r="G51" s="17"/>
    </row>
    <row r="52" spans="1:7" ht="12" customHeight="1">
      <c r="A52" s="5">
        <v>45</v>
      </c>
      <c r="B52" s="11">
        <f t="shared" si="0"/>
        <v>4</v>
      </c>
      <c r="C52" s="15" t="s">
        <v>322</v>
      </c>
      <c r="D52" s="16">
        <v>43622</v>
      </c>
      <c r="E52" s="15" t="s">
        <v>318</v>
      </c>
      <c r="F52" s="15" t="s">
        <v>319</v>
      </c>
      <c r="G52" s="17"/>
    </row>
    <row r="53" spans="1:7" ht="12" customHeight="1">
      <c r="A53" s="5">
        <v>46</v>
      </c>
      <c r="B53" s="11">
        <f t="shared" si="0"/>
        <v>4</v>
      </c>
      <c r="C53" s="15" t="s">
        <v>322</v>
      </c>
      <c r="D53" s="16">
        <v>43623</v>
      </c>
      <c r="E53" s="15" t="s">
        <v>318</v>
      </c>
      <c r="F53" s="15" t="s">
        <v>319</v>
      </c>
      <c r="G53" s="17"/>
    </row>
    <row r="54" spans="1:7" ht="12" customHeight="1">
      <c r="A54" s="5">
        <v>47</v>
      </c>
      <c r="B54" s="11">
        <f t="shared" si="0"/>
        <v>4</v>
      </c>
      <c r="C54" s="15" t="s">
        <v>322</v>
      </c>
      <c r="D54" s="16">
        <v>43624</v>
      </c>
      <c r="E54" s="15" t="s">
        <v>318</v>
      </c>
      <c r="F54" s="15" t="s">
        <v>319</v>
      </c>
      <c r="G54" s="17"/>
    </row>
    <row r="55" spans="1:7" ht="12" customHeight="1">
      <c r="A55" s="5">
        <v>48</v>
      </c>
      <c r="B55" s="11">
        <f t="shared" si="0"/>
        <v>4</v>
      </c>
      <c r="C55" s="15" t="s">
        <v>322</v>
      </c>
      <c r="D55" s="16">
        <v>43625</v>
      </c>
      <c r="E55" s="15" t="s">
        <v>318</v>
      </c>
      <c r="F55" s="15" t="s">
        <v>319</v>
      </c>
      <c r="G55" s="17"/>
    </row>
    <row r="56" spans="1:7" ht="12" customHeight="1">
      <c r="A56" s="5">
        <v>49</v>
      </c>
      <c r="B56" s="11">
        <f t="shared" si="0"/>
        <v>4</v>
      </c>
      <c r="C56" s="15" t="s">
        <v>322</v>
      </c>
      <c r="D56" s="16">
        <v>43626</v>
      </c>
      <c r="E56" s="15" t="s">
        <v>318</v>
      </c>
      <c r="F56" s="15" t="s">
        <v>319</v>
      </c>
      <c r="G56" s="17"/>
    </row>
    <row r="57" spans="1:7" ht="12" customHeight="1">
      <c r="A57" s="5">
        <v>50</v>
      </c>
      <c r="B57" s="11">
        <f t="shared" si="0"/>
        <v>4</v>
      </c>
      <c r="C57" s="15" t="s">
        <v>322</v>
      </c>
      <c r="D57" s="16">
        <v>43627</v>
      </c>
      <c r="E57" s="15" t="s">
        <v>318</v>
      </c>
      <c r="F57" s="15" t="s">
        <v>319</v>
      </c>
      <c r="G57" s="17"/>
    </row>
    <row r="58" spans="1:7" ht="12" customHeight="1">
      <c r="A58" s="5">
        <v>51</v>
      </c>
      <c r="B58" s="11">
        <f t="shared" si="0"/>
        <v>4</v>
      </c>
      <c r="C58" s="15" t="s">
        <v>322</v>
      </c>
      <c r="D58" s="16">
        <v>43628</v>
      </c>
      <c r="E58" s="15" t="s">
        <v>318</v>
      </c>
      <c r="F58" s="15" t="s">
        <v>319</v>
      </c>
      <c r="G58" s="17"/>
    </row>
    <row r="59" spans="1:7" ht="12" customHeight="1">
      <c r="A59" s="5">
        <v>52</v>
      </c>
      <c r="B59" s="11">
        <f t="shared" si="0"/>
        <v>4</v>
      </c>
      <c r="C59" s="15" t="s">
        <v>322</v>
      </c>
      <c r="D59" s="16">
        <v>43629</v>
      </c>
      <c r="E59" s="15" t="s">
        <v>318</v>
      </c>
      <c r="F59" s="15" t="s">
        <v>319</v>
      </c>
      <c r="G59" s="17"/>
    </row>
    <row r="60" spans="1:7" ht="12" customHeight="1">
      <c r="A60" s="5">
        <v>53</v>
      </c>
      <c r="B60" s="11">
        <f t="shared" si="0"/>
        <v>4</v>
      </c>
      <c r="C60" s="15" t="s">
        <v>322</v>
      </c>
      <c r="D60" s="16">
        <v>43630</v>
      </c>
      <c r="E60" s="15" t="s">
        <v>318</v>
      </c>
      <c r="F60" s="15" t="s">
        <v>319</v>
      </c>
      <c r="G60" s="17"/>
    </row>
    <row r="61" spans="1:7" ht="12" customHeight="1">
      <c r="A61" s="5">
        <v>54</v>
      </c>
      <c r="B61" s="11">
        <f t="shared" si="0"/>
        <v>4</v>
      </c>
      <c r="C61" s="15" t="s">
        <v>322</v>
      </c>
      <c r="D61" s="16">
        <v>43631</v>
      </c>
      <c r="E61" s="15" t="s">
        <v>318</v>
      </c>
      <c r="F61" s="15" t="s">
        <v>319</v>
      </c>
      <c r="G61" s="17"/>
    </row>
    <row r="62" spans="1:7" ht="12" customHeight="1">
      <c r="A62" s="5">
        <v>55</v>
      </c>
      <c r="B62" s="11">
        <f t="shared" si="0"/>
        <v>4</v>
      </c>
      <c r="C62" s="15" t="s">
        <v>322</v>
      </c>
      <c r="D62" s="16">
        <v>43632</v>
      </c>
      <c r="E62" s="15" t="s">
        <v>318</v>
      </c>
      <c r="F62" s="15" t="s">
        <v>319</v>
      </c>
      <c r="G62" s="17"/>
    </row>
    <row r="63" spans="1:7" ht="12" customHeight="1">
      <c r="A63" s="5">
        <v>56</v>
      </c>
      <c r="B63" s="11">
        <f t="shared" si="0"/>
        <v>4</v>
      </c>
      <c r="C63" s="15" t="s">
        <v>322</v>
      </c>
      <c r="D63" s="16">
        <v>43633</v>
      </c>
      <c r="E63" s="15" t="s">
        <v>318</v>
      </c>
      <c r="F63" s="15" t="s">
        <v>319</v>
      </c>
      <c r="G63" s="17"/>
    </row>
    <row r="64" spans="1:7" ht="12" customHeight="1">
      <c r="A64" s="5">
        <v>57</v>
      </c>
      <c r="B64" s="11">
        <f t="shared" si="0"/>
        <v>4</v>
      </c>
      <c r="C64" s="15" t="s">
        <v>322</v>
      </c>
      <c r="D64" s="16">
        <v>43634</v>
      </c>
      <c r="E64" s="15" t="s">
        <v>318</v>
      </c>
      <c r="F64" s="15" t="s">
        <v>319</v>
      </c>
      <c r="G64" s="17"/>
    </row>
    <row r="65" spans="1:7" ht="12" customHeight="1">
      <c r="A65" s="5">
        <v>58</v>
      </c>
      <c r="B65" s="11">
        <f t="shared" si="0"/>
        <v>4</v>
      </c>
      <c r="C65" s="15" t="s">
        <v>322</v>
      </c>
      <c r="D65" s="16">
        <v>43635</v>
      </c>
      <c r="E65" s="15" t="s">
        <v>318</v>
      </c>
      <c r="F65" s="15" t="s">
        <v>319</v>
      </c>
      <c r="G65" s="17"/>
    </row>
    <row r="66" spans="1:7" ht="12" customHeight="1">
      <c r="A66" s="5">
        <v>59</v>
      </c>
      <c r="B66" s="11">
        <f t="shared" si="0"/>
        <v>4</v>
      </c>
      <c r="C66" s="15" t="s">
        <v>322</v>
      </c>
      <c r="D66" s="16">
        <v>43636</v>
      </c>
      <c r="E66" s="15" t="s">
        <v>318</v>
      </c>
      <c r="F66" s="15" t="s">
        <v>319</v>
      </c>
      <c r="G66" s="17"/>
    </row>
    <row r="67" spans="1:7" ht="12" customHeight="1">
      <c r="A67" s="5">
        <v>60</v>
      </c>
      <c r="B67" s="11">
        <f t="shared" si="0"/>
        <v>4</v>
      </c>
      <c r="C67" s="15" t="s">
        <v>322</v>
      </c>
      <c r="D67" s="16">
        <v>43637</v>
      </c>
      <c r="E67" s="15" t="s">
        <v>318</v>
      </c>
      <c r="F67" s="15" t="s">
        <v>324</v>
      </c>
      <c r="G67" s="17"/>
    </row>
    <row r="68" spans="1:7" ht="12" customHeight="1">
      <c r="A68" s="5">
        <v>61</v>
      </c>
      <c r="B68" s="11">
        <f t="shared" si="0"/>
        <v>4</v>
      </c>
      <c r="C68" s="15" t="s">
        <v>322</v>
      </c>
      <c r="D68" s="16">
        <v>43638</v>
      </c>
      <c r="E68" s="15" t="s">
        <v>318</v>
      </c>
      <c r="F68" s="15" t="s">
        <v>324</v>
      </c>
      <c r="G68" s="17"/>
    </row>
    <row r="69" spans="1:7" ht="12" customHeight="1">
      <c r="A69" s="5">
        <v>62</v>
      </c>
      <c r="B69" s="11">
        <f t="shared" si="0"/>
        <v>5</v>
      </c>
      <c r="C69" s="15" t="s">
        <v>322</v>
      </c>
      <c r="D69" s="16">
        <v>43282</v>
      </c>
      <c r="E69" s="15" t="s">
        <v>318</v>
      </c>
      <c r="F69" s="15" t="s">
        <v>319</v>
      </c>
      <c r="G69" s="17"/>
    </row>
    <row r="70" spans="1:7" ht="12" customHeight="1">
      <c r="A70" s="5">
        <v>63</v>
      </c>
      <c r="B70" s="11">
        <f t="shared" si="0"/>
        <v>5</v>
      </c>
      <c r="C70" s="15" t="s">
        <v>322</v>
      </c>
      <c r="D70" s="16">
        <v>43283</v>
      </c>
      <c r="E70" s="15" t="s">
        <v>318</v>
      </c>
      <c r="F70" s="15" t="s">
        <v>319</v>
      </c>
      <c r="G70" s="17"/>
    </row>
    <row r="71" spans="1:7" ht="12" customHeight="1">
      <c r="A71" s="5">
        <v>64</v>
      </c>
      <c r="B71" s="11">
        <f t="shared" si="0"/>
        <v>5</v>
      </c>
      <c r="C71" s="15" t="s">
        <v>322</v>
      </c>
      <c r="D71" s="16">
        <v>43284</v>
      </c>
      <c r="E71" s="15" t="s">
        <v>318</v>
      </c>
      <c r="F71" s="15" t="s">
        <v>319</v>
      </c>
      <c r="G71" s="17"/>
    </row>
    <row r="72" spans="1:7" ht="12" customHeight="1">
      <c r="A72" s="5">
        <v>65</v>
      </c>
      <c r="B72" s="11">
        <f t="shared" si="0"/>
        <v>5</v>
      </c>
      <c r="C72" s="15" t="s">
        <v>322</v>
      </c>
      <c r="D72" s="16">
        <v>43285</v>
      </c>
      <c r="E72" s="15" t="s">
        <v>318</v>
      </c>
      <c r="F72" s="15" t="s">
        <v>319</v>
      </c>
      <c r="G72" s="17"/>
    </row>
    <row r="73" spans="1:7" ht="12" customHeight="1">
      <c r="A73" s="5">
        <v>66</v>
      </c>
      <c r="B73" s="11">
        <f t="shared" ref="B73:B136" si="3">IF(D73&gt;=$G$6,0,IF(D73="","",(DATEDIF(D73,$G$6,"Y"))))</f>
        <v>5</v>
      </c>
      <c r="C73" s="15" t="s">
        <v>322</v>
      </c>
      <c r="D73" s="16">
        <v>43286</v>
      </c>
      <c r="E73" s="15" t="s">
        <v>318</v>
      </c>
      <c r="F73" s="15" t="s">
        <v>319</v>
      </c>
      <c r="G73" s="17"/>
    </row>
    <row r="74" spans="1:7" ht="12" customHeight="1">
      <c r="A74" s="5">
        <v>67</v>
      </c>
      <c r="B74" s="11">
        <f t="shared" si="3"/>
        <v>5</v>
      </c>
      <c r="C74" s="15" t="s">
        <v>322</v>
      </c>
      <c r="D74" s="16">
        <v>43287</v>
      </c>
      <c r="E74" s="15" t="s">
        <v>318</v>
      </c>
      <c r="F74" s="15" t="s">
        <v>319</v>
      </c>
      <c r="G74" s="17"/>
    </row>
    <row r="75" spans="1:7" ht="12" customHeight="1">
      <c r="A75" s="5">
        <v>68</v>
      </c>
      <c r="B75" s="11">
        <f t="shared" si="3"/>
        <v>5</v>
      </c>
      <c r="C75" s="15" t="s">
        <v>322</v>
      </c>
      <c r="D75" s="16">
        <v>43288</v>
      </c>
      <c r="E75" s="15" t="s">
        <v>318</v>
      </c>
      <c r="F75" s="15" t="s">
        <v>319</v>
      </c>
      <c r="G75" s="17"/>
    </row>
    <row r="76" spans="1:7" ht="12" customHeight="1">
      <c r="A76" s="5">
        <v>69</v>
      </c>
      <c r="B76" s="11">
        <f t="shared" si="3"/>
        <v>5</v>
      </c>
      <c r="C76" s="15" t="s">
        <v>322</v>
      </c>
      <c r="D76" s="16">
        <v>43289</v>
      </c>
      <c r="E76" s="15" t="s">
        <v>318</v>
      </c>
      <c r="F76" s="15" t="s">
        <v>319</v>
      </c>
      <c r="G76" s="17"/>
    </row>
    <row r="77" spans="1:7" ht="12" customHeight="1">
      <c r="A77" s="5">
        <v>70</v>
      </c>
      <c r="B77" s="11">
        <f t="shared" si="3"/>
        <v>5</v>
      </c>
      <c r="C77" s="15" t="s">
        <v>322</v>
      </c>
      <c r="D77" s="16">
        <v>43290</v>
      </c>
      <c r="E77" s="15" t="s">
        <v>318</v>
      </c>
      <c r="F77" s="15" t="s">
        <v>319</v>
      </c>
      <c r="G77" s="17"/>
    </row>
    <row r="78" spans="1:7" ht="12" customHeight="1">
      <c r="A78" s="5">
        <v>71</v>
      </c>
      <c r="B78" s="11">
        <f t="shared" si="3"/>
        <v>5</v>
      </c>
      <c r="C78" s="15" t="s">
        <v>322</v>
      </c>
      <c r="D78" s="16">
        <v>43291</v>
      </c>
      <c r="E78" s="15" t="s">
        <v>318</v>
      </c>
      <c r="F78" s="15" t="s">
        <v>319</v>
      </c>
      <c r="G78" s="17"/>
    </row>
    <row r="79" spans="1:7" ht="12" customHeight="1">
      <c r="A79" s="5">
        <v>72</v>
      </c>
      <c r="B79" s="11">
        <f t="shared" si="3"/>
        <v>5</v>
      </c>
      <c r="C79" s="15" t="s">
        <v>322</v>
      </c>
      <c r="D79" s="16">
        <v>43292</v>
      </c>
      <c r="E79" s="15" t="s">
        <v>318</v>
      </c>
      <c r="F79" s="15" t="s">
        <v>319</v>
      </c>
      <c r="G79" s="17"/>
    </row>
    <row r="80" spans="1:7" ht="12" customHeight="1">
      <c r="A80" s="5">
        <v>73</v>
      </c>
      <c r="B80" s="11">
        <f t="shared" si="3"/>
        <v>5</v>
      </c>
      <c r="C80" s="15" t="s">
        <v>322</v>
      </c>
      <c r="D80" s="16">
        <v>43293</v>
      </c>
      <c r="E80" s="15" t="s">
        <v>318</v>
      </c>
      <c r="F80" s="15" t="s">
        <v>319</v>
      </c>
      <c r="G80" s="17"/>
    </row>
    <row r="81" spans="1:7" ht="12" customHeight="1">
      <c r="A81" s="5">
        <v>74</v>
      </c>
      <c r="B81" s="11">
        <f t="shared" si="3"/>
        <v>5</v>
      </c>
      <c r="C81" s="15" t="s">
        <v>322</v>
      </c>
      <c r="D81" s="16">
        <v>43294</v>
      </c>
      <c r="E81" s="15" t="s">
        <v>318</v>
      </c>
      <c r="F81" s="15" t="s">
        <v>319</v>
      </c>
      <c r="G81" s="17"/>
    </row>
    <row r="82" spans="1:7" ht="12" customHeight="1">
      <c r="A82" s="5">
        <v>75</v>
      </c>
      <c r="B82" s="11">
        <f t="shared" si="3"/>
        <v>5</v>
      </c>
      <c r="C82" s="15" t="s">
        <v>322</v>
      </c>
      <c r="D82" s="16">
        <v>43295</v>
      </c>
      <c r="E82" s="15" t="s">
        <v>318</v>
      </c>
      <c r="F82" s="15" t="s">
        <v>319</v>
      </c>
      <c r="G82" s="17"/>
    </row>
    <row r="83" spans="1:7" ht="12" customHeight="1">
      <c r="A83" s="5">
        <v>76</v>
      </c>
      <c r="B83" s="11">
        <f t="shared" si="3"/>
        <v>5</v>
      </c>
      <c r="C83" s="15" t="s">
        <v>322</v>
      </c>
      <c r="D83" s="16">
        <v>43296</v>
      </c>
      <c r="E83" s="15" t="s">
        <v>318</v>
      </c>
      <c r="F83" s="15" t="s">
        <v>319</v>
      </c>
      <c r="G83" s="17"/>
    </row>
    <row r="84" spans="1:7" ht="12" customHeight="1">
      <c r="A84" s="5">
        <v>77</v>
      </c>
      <c r="B84" s="11">
        <f t="shared" si="3"/>
        <v>5</v>
      </c>
      <c r="C84" s="15" t="s">
        <v>322</v>
      </c>
      <c r="D84" s="16">
        <v>43297</v>
      </c>
      <c r="E84" s="15" t="s">
        <v>318</v>
      </c>
      <c r="F84" s="15" t="s">
        <v>319</v>
      </c>
      <c r="G84" s="17"/>
    </row>
    <row r="85" spans="1:7" ht="12" customHeight="1">
      <c r="A85" s="5">
        <v>78</v>
      </c>
      <c r="B85" s="11">
        <f t="shared" si="3"/>
        <v>5</v>
      </c>
      <c r="C85" s="15" t="s">
        <v>322</v>
      </c>
      <c r="D85" s="16">
        <v>43298</v>
      </c>
      <c r="E85" s="15" t="s">
        <v>318</v>
      </c>
      <c r="F85" s="15" t="s">
        <v>319</v>
      </c>
      <c r="G85" s="17"/>
    </row>
    <row r="86" spans="1:7" ht="12" customHeight="1">
      <c r="A86" s="5">
        <v>79</v>
      </c>
      <c r="B86" s="11">
        <f t="shared" si="3"/>
        <v>5</v>
      </c>
      <c r="C86" s="15" t="s">
        <v>322</v>
      </c>
      <c r="D86" s="16">
        <v>43299</v>
      </c>
      <c r="E86" s="15" t="s">
        <v>318</v>
      </c>
      <c r="F86" s="15" t="s">
        <v>319</v>
      </c>
      <c r="G86" s="17"/>
    </row>
    <row r="87" spans="1:7" ht="12" customHeight="1">
      <c r="A87" s="5">
        <v>80</v>
      </c>
      <c r="B87" s="11">
        <f t="shared" si="3"/>
        <v>5</v>
      </c>
      <c r="C87" s="15" t="s">
        <v>322</v>
      </c>
      <c r="D87" s="16">
        <v>43300</v>
      </c>
      <c r="E87" s="15" t="s">
        <v>318</v>
      </c>
      <c r="F87" s="15" t="s">
        <v>319</v>
      </c>
      <c r="G87" s="17"/>
    </row>
    <row r="88" spans="1:7" ht="12" customHeight="1">
      <c r="A88" s="5">
        <v>81</v>
      </c>
      <c r="B88" s="11">
        <f t="shared" si="3"/>
        <v>5</v>
      </c>
      <c r="C88" s="15" t="s">
        <v>322</v>
      </c>
      <c r="D88" s="16">
        <v>43301</v>
      </c>
      <c r="E88" s="15" t="s">
        <v>318</v>
      </c>
      <c r="F88" s="15" t="s">
        <v>319</v>
      </c>
      <c r="G88" s="17"/>
    </row>
    <row r="89" spans="1:7" ht="12" customHeight="1">
      <c r="A89" s="5">
        <v>82</v>
      </c>
      <c r="B89" s="11">
        <f t="shared" si="3"/>
        <v>5</v>
      </c>
      <c r="C89" s="15" t="s">
        <v>322</v>
      </c>
      <c r="D89" s="16">
        <v>43302</v>
      </c>
      <c r="E89" s="15" t="s">
        <v>318</v>
      </c>
      <c r="F89" s="15" t="s">
        <v>319</v>
      </c>
      <c r="G89" s="17"/>
    </row>
    <row r="90" spans="1:7" ht="12" customHeight="1">
      <c r="A90" s="5">
        <v>83</v>
      </c>
      <c r="B90" s="11">
        <f t="shared" si="3"/>
        <v>5</v>
      </c>
      <c r="C90" s="15" t="s">
        <v>322</v>
      </c>
      <c r="D90" s="16">
        <v>43303</v>
      </c>
      <c r="E90" s="15" t="s">
        <v>318</v>
      </c>
      <c r="F90" s="15" t="s">
        <v>319</v>
      </c>
      <c r="G90" s="17"/>
    </row>
    <row r="91" spans="1:7" ht="12" customHeight="1">
      <c r="A91" s="5">
        <v>84</v>
      </c>
      <c r="B91" s="11">
        <f t="shared" si="3"/>
        <v>5</v>
      </c>
      <c r="C91" s="15" t="s">
        <v>322</v>
      </c>
      <c r="D91" s="16">
        <v>43304</v>
      </c>
      <c r="E91" s="15" t="s">
        <v>318</v>
      </c>
      <c r="F91" s="15" t="s">
        <v>319</v>
      </c>
      <c r="G91" s="17"/>
    </row>
    <row r="92" spans="1:7" ht="12" customHeight="1">
      <c r="A92" s="5">
        <v>85</v>
      </c>
      <c r="B92" s="11">
        <f t="shared" si="3"/>
        <v>5</v>
      </c>
      <c r="C92" s="15" t="s">
        <v>322</v>
      </c>
      <c r="D92" s="16">
        <v>43305</v>
      </c>
      <c r="E92" s="15" t="s">
        <v>318</v>
      </c>
      <c r="F92" s="15" t="s">
        <v>319</v>
      </c>
      <c r="G92" s="17"/>
    </row>
    <row r="93" spans="1:7" ht="12" customHeight="1">
      <c r="A93" s="5">
        <v>86</v>
      </c>
      <c r="B93" s="11">
        <f t="shared" si="3"/>
        <v>5</v>
      </c>
      <c r="C93" s="15" t="s">
        <v>322</v>
      </c>
      <c r="D93" s="16">
        <v>43306</v>
      </c>
      <c r="E93" s="15" t="s">
        <v>318</v>
      </c>
      <c r="F93" s="15" t="s">
        <v>319</v>
      </c>
      <c r="G93" s="17"/>
    </row>
    <row r="94" spans="1:7" ht="12" customHeight="1">
      <c r="A94" s="5">
        <v>87</v>
      </c>
      <c r="B94" s="11">
        <f t="shared" si="3"/>
        <v>5</v>
      </c>
      <c r="C94" s="15" t="s">
        <v>322</v>
      </c>
      <c r="D94" s="16">
        <v>43307</v>
      </c>
      <c r="E94" s="15" t="s">
        <v>318</v>
      </c>
      <c r="F94" s="15" t="s">
        <v>324</v>
      </c>
      <c r="G94" s="17"/>
    </row>
    <row r="95" spans="1:7" ht="12" customHeight="1">
      <c r="A95" s="5">
        <v>88</v>
      </c>
      <c r="B95" s="11">
        <f t="shared" si="3"/>
        <v>5</v>
      </c>
      <c r="C95" s="15" t="s">
        <v>322</v>
      </c>
      <c r="D95" s="16">
        <v>43308</v>
      </c>
      <c r="E95" s="15" t="s">
        <v>318</v>
      </c>
      <c r="F95" s="15" t="s">
        <v>324</v>
      </c>
      <c r="G95" s="17"/>
    </row>
    <row r="96" spans="1:7" ht="12" customHeight="1">
      <c r="A96" s="5">
        <v>89</v>
      </c>
      <c r="B96" s="11">
        <f t="shared" si="3"/>
        <v>5</v>
      </c>
      <c r="C96" s="15" t="s">
        <v>322</v>
      </c>
      <c r="D96" s="16">
        <v>43309</v>
      </c>
      <c r="E96" s="15" t="s">
        <v>318</v>
      </c>
      <c r="F96" s="15" t="s">
        <v>324</v>
      </c>
      <c r="G96" s="17"/>
    </row>
    <row r="97" spans="1:7" ht="12" customHeight="1">
      <c r="A97" s="5">
        <v>90</v>
      </c>
      <c r="B97" s="11">
        <f t="shared" si="3"/>
        <v>5</v>
      </c>
      <c r="C97" s="15" t="s">
        <v>322</v>
      </c>
      <c r="D97" s="16">
        <v>43310</v>
      </c>
      <c r="E97" s="15" t="s">
        <v>318</v>
      </c>
      <c r="F97" s="15" t="s">
        <v>324</v>
      </c>
      <c r="G97" s="17"/>
    </row>
    <row r="98" spans="1:7" ht="12" customHeight="1">
      <c r="A98" s="5">
        <v>91</v>
      </c>
      <c r="B98" s="11">
        <f t="shared" si="3"/>
        <v>5</v>
      </c>
      <c r="C98" s="15" t="s">
        <v>322</v>
      </c>
      <c r="D98" s="16">
        <v>43311</v>
      </c>
      <c r="E98" s="15" t="s">
        <v>318</v>
      </c>
      <c r="F98" s="15" t="s">
        <v>324</v>
      </c>
      <c r="G98" s="17"/>
    </row>
    <row r="99" spans="1:7" ht="12" customHeight="1">
      <c r="A99" s="5">
        <v>92</v>
      </c>
      <c r="B99" s="11">
        <f t="shared" si="3"/>
        <v>0</v>
      </c>
      <c r="C99" s="15" t="s">
        <v>322</v>
      </c>
      <c r="D99" s="16">
        <v>45139</v>
      </c>
      <c r="E99" s="15" t="s">
        <v>325</v>
      </c>
      <c r="F99" s="15" t="s">
        <v>319</v>
      </c>
      <c r="G99" s="17"/>
    </row>
    <row r="100" spans="1:7" ht="12" customHeight="1">
      <c r="A100" s="5">
        <v>93</v>
      </c>
      <c r="B100" s="11">
        <f t="shared" si="3"/>
        <v>0</v>
      </c>
      <c r="C100" s="15" t="s">
        <v>322</v>
      </c>
      <c r="D100" s="16">
        <v>45140</v>
      </c>
      <c r="E100" s="15" t="s">
        <v>325</v>
      </c>
      <c r="F100" s="15" t="s">
        <v>319</v>
      </c>
      <c r="G100" s="17"/>
    </row>
    <row r="101" spans="1:7" ht="12" customHeight="1">
      <c r="A101" s="5">
        <v>94</v>
      </c>
      <c r="B101" s="11">
        <f t="shared" si="3"/>
        <v>0</v>
      </c>
      <c r="C101" s="15" t="s">
        <v>322</v>
      </c>
      <c r="D101" s="16">
        <v>45141</v>
      </c>
      <c r="E101" s="15" t="s">
        <v>325</v>
      </c>
      <c r="F101" s="15" t="s">
        <v>319</v>
      </c>
      <c r="G101" s="17"/>
    </row>
    <row r="102" spans="1:7" ht="12" customHeight="1">
      <c r="A102" s="5">
        <v>95</v>
      </c>
      <c r="B102" s="11">
        <f t="shared" si="3"/>
        <v>0</v>
      </c>
      <c r="C102" s="15" t="s">
        <v>322</v>
      </c>
      <c r="D102" s="16">
        <v>45142</v>
      </c>
      <c r="E102" s="15" t="s">
        <v>325</v>
      </c>
      <c r="F102" s="15" t="s">
        <v>319</v>
      </c>
      <c r="G102" s="17"/>
    </row>
    <row r="103" spans="1:7" ht="12" customHeight="1">
      <c r="A103" s="5">
        <v>96</v>
      </c>
      <c r="B103" s="11">
        <f t="shared" si="3"/>
        <v>0</v>
      </c>
      <c r="C103" s="15" t="s">
        <v>322</v>
      </c>
      <c r="D103" s="16">
        <v>45143</v>
      </c>
      <c r="E103" s="15" t="s">
        <v>325</v>
      </c>
      <c r="F103" s="15" t="s">
        <v>319</v>
      </c>
      <c r="G103" s="17"/>
    </row>
    <row r="104" spans="1:7" ht="12" customHeight="1">
      <c r="A104" s="5">
        <v>97</v>
      </c>
      <c r="B104" s="11">
        <f t="shared" si="3"/>
        <v>0</v>
      </c>
      <c r="C104" s="15" t="s">
        <v>322</v>
      </c>
      <c r="D104" s="16">
        <v>45144</v>
      </c>
      <c r="E104" s="15" t="s">
        <v>325</v>
      </c>
      <c r="F104" s="15" t="s">
        <v>319</v>
      </c>
      <c r="G104" s="17"/>
    </row>
    <row r="105" spans="1:7" ht="12" customHeight="1">
      <c r="A105" s="5">
        <v>98</v>
      </c>
      <c r="B105" s="11">
        <f t="shared" si="3"/>
        <v>1</v>
      </c>
      <c r="C105" s="15" t="s">
        <v>322</v>
      </c>
      <c r="D105" s="16">
        <v>44811</v>
      </c>
      <c r="E105" s="15" t="s">
        <v>325</v>
      </c>
      <c r="F105" s="15" t="s">
        <v>319</v>
      </c>
      <c r="G105" s="17"/>
    </row>
    <row r="106" spans="1:7" ht="12" customHeight="1">
      <c r="A106" s="5">
        <v>99</v>
      </c>
      <c r="B106" s="11">
        <f t="shared" si="3"/>
        <v>1</v>
      </c>
      <c r="C106" s="15" t="s">
        <v>322</v>
      </c>
      <c r="D106" s="16">
        <v>44812</v>
      </c>
      <c r="E106" s="15" t="s">
        <v>325</v>
      </c>
      <c r="F106" s="15" t="s">
        <v>319</v>
      </c>
      <c r="G106" s="17"/>
    </row>
    <row r="107" spans="1:7" ht="12" customHeight="1">
      <c r="A107" s="5">
        <v>100</v>
      </c>
      <c r="B107" s="11">
        <f t="shared" si="3"/>
        <v>1</v>
      </c>
      <c r="C107" s="15" t="s">
        <v>322</v>
      </c>
      <c r="D107" s="16">
        <v>44813</v>
      </c>
      <c r="E107" s="15" t="s">
        <v>325</v>
      </c>
      <c r="F107" s="15" t="s">
        <v>319</v>
      </c>
      <c r="G107" s="17"/>
    </row>
    <row r="108" spans="1:7" ht="12" customHeight="1">
      <c r="A108" s="5">
        <v>101</v>
      </c>
      <c r="B108" s="11">
        <f t="shared" si="3"/>
        <v>1</v>
      </c>
      <c r="C108" s="15" t="s">
        <v>322</v>
      </c>
      <c r="D108" s="16">
        <v>44814</v>
      </c>
      <c r="E108" s="15" t="s">
        <v>325</v>
      </c>
      <c r="F108" s="15" t="s">
        <v>319</v>
      </c>
      <c r="G108" s="17"/>
    </row>
    <row r="109" spans="1:7" ht="12" customHeight="1">
      <c r="A109" s="5">
        <v>102</v>
      </c>
      <c r="B109" s="11">
        <f t="shared" si="3"/>
        <v>1</v>
      </c>
      <c r="C109" s="15" t="s">
        <v>322</v>
      </c>
      <c r="D109" s="16">
        <v>44815</v>
      </c>
      <c r="E109" s="15" t="s">
        <v>325</v>
      </c>
      <c r="F109" s="15" t="s">
        <v>319</v>
      </c>
      <c r="G109" s="17"/>
    </row>
    <row r="110" spans="1:7" ht="12" customHeight="1">
      <c r="A110" s="5">
        <v>103</v>
      </c>
      <c r="B110" s="11">
        <f t="shared" si="3"/>
        <v>1</v>
      </c>
      <c r="C110" s="15" t="s">
        <v>322</v>
      </c>
      <c r="D110" s="16">
        <v>44816</v>
      </c>
      <c r="E110" s="15" t="s">
        <v>325</v>
      </c>
      <c r="F110" s="15" t="s">
        <v>319</v>
      </c>
      <c r="G110" s="17"/>
    </row>
    <row r="111" spans="1:7" ht="12" customHeight="1">
      <c r="A111" s="5">
        <v>104</v>
      </c>
      <c r="B111" s="11">
        <f t="shared" si="3"/>
        <v>1</v>
      </c>
      <c r="C111" s="15" t="s">
        <v>322</v>
      </c>
      <c r="D111" s="16">
        <v>44817</v>
      </c>
      <c r="E111" s="15" t="s">
        <v>325</v>
      </c>
      <c r="F111" s="15" t="s">
        <v>319</v>
      </c>
      <c r="G111" s="17"/>
    </row>
    <row r="112" spans="1:7" ht="12" customHeight="1">
      <c r="A112" s="5">
        <v>105</v>
      </c>
      <c r="B112" s="11">
        <f t="shared" si="3"/>
        <v>1</v>
      </c>
      <c r="C112" s="15" t="s">
        <v>322</v>
      </c>
      <c r="D112" s="16">
        <v>44818</v>
      </c>
      <c r="E112" s="15" t="s">
        <v>325</v>
      </c>
      <c r="F112" s="15" t="s">
        <v>319</v>
      </c>
      <c r="G112" s="17"/>
    </row>
    <row r="113" spans="1:7" ht="12" customHeight="1">
      <c r="A113" s="5">
        <v>106</v>
      </c>
      <c r="B113" s="11">
        <f t="shared" si="3"/>
        <v>1</v>
      </c>
      <c r="C113" s="15" t="s">
        <v>322</v>
      </c>
      <c r="D113" s="16">
        <v>44819</v>
      </c>
      <c r="E113" s="15" t="s">
        <v>325</v>
      </c>
      <c r="F113" s="15" t="s">
        <v>324</v>
      </c>
      <c r="G113" s="17"/>
    </row>
    <row r="114" spans="1:7" ht="12" customHeight="1">
      <c r="A114" s="5">
        <v>107</v>
      </c>
      <c r="B114" s="11">
        <f t="shared" si="3"/>
        <v>1</v>
      </c>
      <c r="C114" s="15" t="s">
        <v>322</v>
      </c>
      <c r="D114" s="16">
        <v>44820</v>
      </c>
      <c r="E114" s="15" t="s">
        <v>325</v>
      </c>
      <c r="F114" s="15" t="s">
        <v>324</v>
      </c>
      <c r="G114" s="17"/>
    </row>
    <row r="115" spans="1:7" ht="12" customHeight="1">
      <c r="A115" s="5">
        <v>108</v>
      </c>
      <c r="B115" s="11">
        <f t="shared" si="3"/>
        <v>1</v>
      </c>
      <c r="C115" s="15" t="s">
        <v>322</v>
      </c>
      <c r="D115" s="16">
        <v>44821</v>
      </c>
      <c r="E115" s="15" t="s">
        <v>325</v>
      </c>
      <c r="F115" s="15" t="s">
        <v>324</v>
      </c>
      <c r="G115" s="17"/>
    </row>
    <row r="116" spans="1:7" ht="12" customHeight="1">
      <c r="A116" s="5">
        <v>109</v>
      </c>
      <c r="B116" s="11">
        <f t="shared" si="3"/>
        <v>1</v>
      </c>
      <c r="C116" s="15" t="s">
        <v>322</v>
      </c>
      <c r="D116" s="16">
        <v>44822</v>
      </c>
      <c r="E116" s="15" t="s">
        <v>325</v>
      </c>
      <c r="F116" s="15" t="s">
        <v>324</v>
      </c>
      <c r="G116" s="17"/>
    </row>
    <row r="117" spans="1:7" ht="12" customHeight="1">
      <c r="A117" s="5">
        <v>110</v>
      </c>
      <c r="B117" s="11">
        <f t="shared" si="3"/>
        <v>2</v>
      </c>
      <c r="C117" s="15" t="s">
        <v>322</v>
      </c>
      <c r="D117" s="16">
        <v>44470</v>
      </c>
      <c r="E117" s="15" t="s">
        <v>325</v>
      </c>
      <c r="F117" s="15" t="s">
        <v>319</v>
      </c>
      <c r="G117" s="17"/>
    </row>
    <row r="118" spans="1:7" ht="12" customHeight="1">
      <c r="A118" s="5">
        <v>111</v>
      </c>
      <c r="B118" s="11">
        <f t="shared" si="3"/>
        <v>2</v>
      </c>
      <c r="C118" s="15" t="s">
        <v>322</v>
      </c>
      <c r="D118" s="16">
        <v>44471</v>
      </c>
      <c r="E118" s="15" t="s">
        <v>325</v>
      </c>
      <c r="F118" s="15" t="s">
        <v>319</v>
      </c>
      <c r="G118" s="17"/>
    </row>
    <row r="119" spans="1:7" ht="12" customHeight="1">
      <c r="A119" s="5">
        <v>112</v>
      </c>
      <c r="B119" s="11">
        <f t="shared" si="3"/>
        <v>2</v>
      </c>
      <c r="C119" s="15" t="s">
        <v>322</v>
      </c>
      <c r="D119" s="16">
        <v>44472</v>
      </c>
      <c r="E119" s="15" t="s">
        <v>325</v>
      </c>
      <c r="F119" s="15" t="s">
        <v>319</v>
      </c>
      <c r="G119" s="17"/>
    </row>
    <row r="120" spans="1:7" ht="12" customHeight="1">
      <c r="A120" s="5">
        <v>113</v>
      </c>
      <c r="B120" s="11">
        <f t="shared" si="3"/>
        <v>2</v>
      </c>
      <c r="C120" s="15" t="s">
        <v>322</v>
      </c>
      <c r="D120" s="16">
        <v>44473</v>
      </c>
      <c r="E120" s="15" t="s">
        <v>325</v>
      </c>
      <c r="F120" s="15" t="s">
        <v>319</v>
      </c>
      <c r="G120" s="17"/>
    </row>
    <row r="121" spans="1:7" ht="12" customHeight="1">
      <c r="A121" s="5">
        <v>114</v>
      </c>
      <c r="B121" s="11">
        <f t="shared" si="3"/>
        <v>2</v>
      </c>
      <c r="C121" s="15" t="s">
        <v>322</v>
      </c>
      <c r="D121" s="16">
        <v>44474</v>
      </c>
      <c r="E121" s="15" t="s">
        <v>325</v>
      </c>
      <c r="F121" s="15" t="s">
        <v>319</v>
      </c>
      <c r="G121" s="17"/>
    </row>
    <row r="122" spans="1:7" ht="12" customHeight="1">
      <c r="A122" s="5">
        <v>115</v>
      </c>
      <c r="B122" s="11">
        <f t="shared" si="3"/>
        <v>2</v>
      </c>
      <c r="C122" s="15" t="s">
        <v>322</v>
      </c>
      <c r="D122" s="16">
        <v>44475</v>
      </c>
      <c r="E122" s="15" t="s">
        <v>325</v>
      </c>
      <c r="F122" s="15" t="s">
        <v>319</v>
      </c>
      <c r="G122" s="17"/>
    </row>
    <row r="123" spans="1:7" ht="12" customHeight="1">
      <c r="A123" s="5">
        <v>116</v>
      </c>
      <c r="B123" s="11">
        <f t="shared" si="3"/>
        <v>2</v>
      </c>
      <c r="C123" s="15" t="s">
        <v>322</v>
      </c>
      <c r="D123" s="16">
        <v>44476</v>
      </c>
      <c r="E123" s="15" t="s">
        <v>325</v>
      </c>
      <c r="F123" s="15" t="s">
        <v>319</v>
      </c>
      <c r="G123" s="17"/>
    </row>
    <row r="124" spans="1:7" ht="12" customHeight="1">
      <c r="A124" s="5">
        <v>117</v>
      </c>
      <c r="B124" s="11">
        <f t="shared" si="3"/>
        <v>2</v>
      </c>
      <c r="C124" s="15" t="s">
        <v>322</v>
      </c>
      <c r="D124" s="16">
        <v>44477</v>
      </c>
      <c r="E124" s="15" t="s">
        <v>325</v>
      </c>
      <c r="F124" s="15" t="s">
        <v>319</v>
      </c>
      <c r="G124" s="17"/>
    </row>
    <row r="125" spans="1:7" ht="12" customHeight="1">
      <c r="A125" s="5">
        <v>118</v>
      </c>
      <c r="B125" s="11">
        <f t="shared" si="3"/>
        <v>2</v>
      </c>
      <c r="C125" s="15" t="s">
        <v>322</v>
      </c>
      <c r="D125" s="16">
        <v>44478</v>
      </c>
      <c r="E125" s="15" t="s">
        <v>325</v>
      </c>
      <c r="F125" s="15" t="s">
        <v>324</v>
      </c>
      <c r="G125" s="17"/>
    </row>
    <row r="126" spans="1:7" ht="12" customHeight="1">
      <c r="A126" s="5">
        <v>119</v>
      </c>
      <c r="B126" s="11">
        <f t="shared" si="3"/>
        <v>2</v>
      </c>
      <c r="C126" s="15" t="s">
        <v>322</v>
      </c>
      <c r="D126" s="16">
        <v>44479</v>
      </c>
      <c r="E126" s="15" t="s">
        <v>325</v>
      </c>
      <c r="F126" s="15" t="s">
        <v>324</v>
      </c>
      <c r="G126" s="17"/>
    </row>
    <row r="127" spans="1:7" ht="12" customHeight="1">
      <c r="A127" s="5">
        <v>120</v>
      </c>
      <c r="B127" s="11">
        <f t="shared" si="3"/>
        <v>2</v>
      </c>
      <c r="C127" s="15" t="s">
        <v>322</v>
      </c>
      <c r="D127" s="16">
        <v>44480</v>
      </c>
      <c r="E127" s="15" t="s">
        <v>325</v>
      </c>
      <c r="F127" s="15" t="s">
        <v>324</v>
      </c>
      <c r="G127" s="17"/>
    </row>
    <row r="128" spans="1:7" ht="12" customHeight="1">
      <c r="A128" s="5">
        <v>121</v>
      </c>
      <c r="B128" s="11">
        <f t="shared" si="3"/>
        <v>2</v>
      </c>
      <c r="C128" s="15" t="s">
        <v>322</v>
      </c>
      <c r="D128" s="16">
        <v>44481</v>
      </c>
      <c r="E128" s="15" t="s">
        <v>325</v>
      </c>
      <c r="F128" s="15" t="s">
        <v>324</v>
      </c>
      <c r="G128" s="17"/>
    </row>
    <row r="129" spans="1:7" ht="12" customHeight="1">
      <c r="A129" s="5">
        <v>122</v>
      </c>
      <c r="B129" s="11" t="str">
        <f t="shared" si="3"/>
        <v/>
      </c>
      <c r="C129" s="15"/>
      <c r="D129" s="16"/>
      <c r="E129" s="15"/>
      <c r="F129" s="15"/>
      <c r="G129" s="17"/>
    </row>
    <row r="130" spans="1:7" ht="12" customHeight="1">
      <c r="A130" s="5">
        <v>123</v>
      </c>
      <c r="B130" s="11" t="str">
        <f t="shared" si="3"/>
        <v/>
      </c>
      <c r="C130" s="15"/>
      <c r="D130" s="16"/>
      <c r="E130" s="15"/>
      <c r="F130" s="15"/>
      <c r="G130" s="17"/>
    </row>
    <row r="131" spans="1:7" ht="12" customHeight="1">
      <c r="A131" s="5">
        <v>124</v>
      </c>
      <c r="B131" s="11" t="str">
        <f t="shared" si="3"/>
        <v/>
      </c>
      <c r="C131" s="15"/>
      <c r="D131" s="16"/>
      <c r="E131" s="15"/>
      <c r="F131" s="15"/>
      <c r="G131" s="17"/>
    </row>
    <row r="132" spans="1:7" ht="12" customHeight="1">
      <c r="A132" s="5">
        <v>125</v>
      </c>
      <c r="B132" s="11" t="str">
        <f t="shared" si="3"/>
        <v/>
      </c>
      <c r="C132" s="15"/>
      <c r="D132" s="16"/>
      <c r="E132" s="15"/>
      <c r="F132" s="15"/>
      <c r="G132" s="17"/>
    </row>
    <row r="133" spans="1:7" ht="12" customHeight="1">
      <c r="A133" s="5">
        <v>126</v>
      </c>
      <c r="B133" s="11" t="str">
        <f t="shared" si="3"/>
        <v/>
      </c>
      <c r="C133" s="15"/>
      <c r="D133" s="16"/>
      <c r="E133" s="15"/>
      <c r="F133" s="15"/>
      <c r="G133" s="17"/>
    </row>
    <row r="134" spans="1:7" ht="12" customHeight="1">
      <c r="A134" s="5">
        <v>127</v>
      </c>
      <c r="B134" s="11" t="str">
        <f t="shared" si="3"/>
        <v/>
      </c>
      <c r="C134" s="15"/>
      <c r="D134" s="16"/>
      <c r="E134" s="15"/>
      <c r="F134" s="15"/>
      <c r="G134" s="17"/>
    </row>
    <row r="135" spans="1:7" ht="12" customHeight="1">
      <c r="A135" s="5">
        <v>128</v>
      </c>
      <c r="B135" s="11" t="str">
        <f t="shared" si="3"/>
        <v/>
      </c>
      <c r="C135" s="15"/>
      <c r="D135" s="16"/>
      <c r="E135" s="15"/>
      <c r="F135" s="15"/>
      <c r="G135" s="17"/>
    </row>
    <row r="136" spans="1:7" ht="12" customHeight="1">
      <c r="A136" s="5">
        <v>129</v>
      </c>
      <c r="B136" s="11" t="str">
        <f t="shared" si="3"/>
        <v/>
      </c>
      <c r="C136" s="15"/>
      <c r="D136" s="16"/>
      <c r="E136" s="15"/>
      <c r="F136" s="15"/>
      <c r="G136" s="17"/>
    </row>
    <row r="137" spans="1:7" ht="12" customHeight="1">
      <c r="A137" s="5">
        <v>130</v>
      </c>
      <c r="B137" s="11" t="str">
        <f t="shared" ref="B137:B200" si="4">IF(D137&gt;=$G$6,0,IF(D137="","",(DATEDIF(D137,$G$6,"Y"))))</f>
        <v/>
      </c>
      <c r="C137" s="15"/>
      <c r="D137" s="16"/>
      <c r="E137" s="15"/>
      <c r="F137" s="15"/>
      <c r="G137" s="17"/>
    </row>
    <row r="138" spans="1:7" ht="12" customHeight="1">
      <c r="A138" s="5">
        <v>131</v>
      </c>
      <c r="B138" s="11" t="str">
        <f t="shared" si="4"/>
        <v/>
      </c>
      <c r="C138" s="15"/>
      <c r="D138" s="16"/>
      <c r="E138" s="15"/>
      <c r="F138" s="15"/>
      <c r="G138" s="17"/>
    </row>
    <row r="139" spans="1:7" ht="12" customHeight="1">
      <c r="A139" s="5">
        <v>132</v>
      </c>
      <c r="B139" s="11" t="str">
        <f t="shared" si="4"/>
        <v/>
      </c>
      <c r="C139" s="15"/>
      <c r="D139" s="16"/>
      <c r="E139" s="15"/>
      <c r="F139" s="15"/>
      <c r="G139" s="17"/>
    </row>
    <row r="140" spans="1:7" ht="12" customHeight="1">
      <c r="A140" s="5">
        <v>133</v>
      </c>
      <c r="B140" s="11" t="str">
        <f t="shared" si="4"/>
        <v/>
      </c>
      <c r="C140" s="15"/>
      <c r="D140" s="16"/>
      <c r="E140" s="15"/>
      <c r="F140" s="15"/>
      <c r="G140" s="17"/>
    </row>
    <row r="141" spans="1:7" ht="12" customHeight="1">
      <c r="A141" s="5">
        <v>134</v>
      </c>
      <c r="B141" s="11" t="str">
        <f t="shared" si="4"/>
        <v/>
      </c>
      <c r="C141" s="15"/>
      <c r="D141" s="16"/>
      <c r="E141" s="15"/>
      <c r="F141" s="15"/>
      <c r="G141" s="17"/>
    </row>
    <row r="142" spans="1:7" ht="12" customHeight="1">
      <c r="A142" s="5">
        <v>135</v>
      </c>
      <c r="B142" s="11" t="str">
        <f t="shared" si="4"/>
        <v/>
      </c>
      <c r="C142" s="15"/>
      <c r="D142" s="16"/>
      <c r="E142" s="15"/>
      <c r="F142" s="15"/>
      <c r="G142" s="17"/>
    </row>
    <row r="143" spans="1:7" ht="12" customHeight="1">
      <c r="A143" s="5">
        <v>136</v>
      </c>
      <c r="B143" s="11" t="str">
        <f t="shared" si="4"/>
        <v/>
      </c>
      <c r="C143" s="15"/>
      <c r="D143" s="16"/>
      <c r="E143" s="15"/>
      <c r="F143" s="15"/>
      <c r="G143" s="17"/>
    </row>
    <row r="144" spans="1:7" ht="12" customHeight="1">
      <c r="A144" s="5">
        <v>137</v>
      </c>
      <c r="B144" s="11" t="str">
        <f t="shared" si="4"/>
        <v/>
      </c>
      <c r="C144" s="15"/>
      <c r="D144" s="16"/>
      <c r="E144" s="15"/>
      <c r="F144" s="15"/>
      <c r="G144" s="17"/>
    </row>
    <row r="145" spans="1:7" ht="12" customHeight="1">
      <c r="A145" s="5">
        <v>138</v>
      </c>
      <c r="B145" s="11" t="str">
        <f t="shared" si="4"/>
        <v/>
      </c>
      <c r="C145" s="15"/>
      <c r="D145" s="16"/>
      <c r="E145" s="15"/>
      <c r="F145" s="15"/>
      <c r="G145" s="17"/>
    </row>
    <row r="146" spans="1:7" ht="12" customHeight="1">
      <c r="A146" s="5">
        <v>139</v>
      </c>
      <c r="B146" s="11" t="str">
        <f t="shared" si="4"/>
        <v/>
      </c>
      <c r="C146" s="15"/>
      <c r="D146" s="16"/>
      <c r="E146" s="15"/>
      <c r="F146" s="15"/>
      <c r="G146" s="17"/>
    </row>
    <row r="147" spans="1:7" ht="12" customHeight="1">
      <c r="A147" s="5">
        <v>140</v>
      </c>
      <c r="B147" s="11" t="str">
        <f t="shared" si="4"/>
        <v/>
      </c>
      <c r="C147" s="15"/>
      <c r="D147" s="16"/>
      <c r="E147" s="15"/>
      <c r="F147" s="15"/>
      <c r="G147" s="17"/>
    </row>
    <row r="148" spans="1:7" ht="12" customHeight="1">
      <c r="A148" s="5">
        <v>141</v>
      </c>
      <c r="B148" s="11" t="str">
        <f t="shared" si="4"/>
        <v/>
      </c>
      <c r="C148" s="15"/>
      <c r="D148" s="16"/>
      <c r="E148" s="15"/>
      <c r="F148" s="15"/>
      <c r="G148" s="17"/>
    </row>
    <row r="149" spans="1:7" ht="12" customHeight="1">
      <c r="A149" s="5">
        <v>142</v>
      </c>
      <c r="B149" s="11" t="str">
        <f t="shared" si="4"/>
        <v/>
      </c>
      <c r="C149" s="15"/>
      <c r="D149" s="16"/>
      <c r="E149" s="15"/>
      <c r="F149" s="15"/>
      <c r="G149" s="17"/>
    </row>
    <row r="150" spans="1:7" ht="12" customHeight="1">
      <c r="A150" s="5">
        <v>143</v>
      </c>
      <c r="B150" s="11" t="str">
        <f t="shared" si="4"/>
        <v/>
      </c>
      <c r="C150" s="15"/>
      <c r="D150" s="16"/>
      <c r="E150" s="15"/>
      <c r="F150" s="15"/>
      <c r="G150" s="17"/>
    </row>
    <row r="151" spans="1:7" ht="12" customHeight="1">
      <c r="A151" s="5">
        <v>144</v>
      </c>
      <c r="B151" s="11" t="str">
        <f t="shared" si="4"/>
        <v/>
      </c>
      <c r="C151" s="15"/>
      <c r="D151" s="16"/>
      <c r="E151" s="15"/>
      <c r="F151" s="15"/>
      <c r="G151" s="17"/>
    </row>
    <row r="152" spans="1:7" ht="12" customHeight="1">
      <c r="A152" s="5">
        <v>145</v>
      </c>
      <c r="B152" s="11" t="str">
        <f t="shared" si="4"/>
        <v/>
      </c>
      <c r="C152" s="15"/>
      <c r="D152" s="16"/>
      <c r="E152" s="15"/>
      <c r="F152" s="15"/>
      <c r="G152" s="17"/>
    </row>
    <row r="153" spans="1:7" ht="12" customHeight="1">
      <c r="A153" s="5">
        <v>146</v>
      </c>
      <c r="B153" s="11" t="str">
        <f t="shared" si="4"/>
        <v/>
      </c>
      <c r="C153" s="15"/>
      <c r="D153" s="16"/>
      <c r="E153" s="15"/>
      <c r="F153" s="15"/>
      <c r="G153" s="17"/>
    </row>
    <row r="154" spans="1:7" ht="12" customHeight="1">
      <c r="A154" s="5">
        <v>147</v>
      </c>
      <c r="B154" s="11" t="str">
        <f t="shared" si="4"/>
        <v/>
      </c>
      <c r="C154" s="15"/>
      <c r="D154" s="16"/>
      <c r="E154" s="15"/>
      <c r="F154" s="15"/>
      <c r="G154" s="17"/>
    </row>
    <row r="155" spans="1:7" ht="12" customHeight="1">
      <c r="A155" s="5">
        <v>148</v>
      </c>
      <c r="B155" s="11" t="str">
        <f t="shared" si="4"/>
        <v/>
      </c>
      <c r="C155" s="15"/>
      <c r="D155" s="16"/>
      <c r="E155" s="15"/>
      <c r="F155" s="15"/>
      <c r="G155" s="17"/>
    </row>
    <row r="156" spans="1:7" ht="12" customHeight="1">
      <c r="A156" s="5">
        <v>149</v>
      </c>
      <c r="B156" s="11" t="str">
        <f t="shared" si="4"/>
        <v/>
      </c>
      <c r="C156" s="15"/>
      <c r="D156" s="16"/>
      <c r="E156" s="15"/>
      <c r="F156" s="15"/>
      <c r="G156" s="17"/>
    </row>
    <row r="157" spans="1:7" ht="12" customHeight="1">
      <c r="A157" s="5">
        <v>150</v>
      </c>
      <c r="B157" s="11" t="str">
        <f t="shared" si="4"/>
        <v/>
      </c>
      <c r="C157" s="15"/>
      <c r="D157" s="16"/>
      <c r="E157" s="15"/>
      <c r="F157" s="15"/>
      <c r="G157" s="17"/>
    </row>
    <row r="158" spans="1:7" ht="12" customHeight="1">
      <c r="A158" s="5">
        <v>151</v>
      </c>
      <c r="B158" s="11" t="str">
        <f t="shared" si="4"/>
        <v/>
      </c>
      <c r="C158" s="15"/>
      <c r="D158" s="16"/>
      <c r="E158" s="15"/>
      <c r="F158" s="15"/>
      <c r="G158" s="17"/>
    </row>
    <row r="159" spans="1:7" ht="12" customHeight="1">
      <c r="A159" s="5">
        <v>152</v>
      </c>
      <c r="B159" s="11" t="str">
        <f t="shared" si="4"/>
        <v/>
      </c>
      <c r="C159" s="15"/>
      <c r="D159" s="16"/>
      <c r="E159" s="15"/>
      <c r="F159" s="15"/>
      <c r="G159" s="17"/>
    </row>
    <row r="160" spans="1:7" ht="12" customHeight="1">
      <c r="A160" s="5">
        <v>153</v>
      </c>
      <c r="B160" s="11" t="str">
        <f t="shared" si="4"/>
        <v/>
      </c>
      <c r="C160" s="15"/>
      <c r="D160" s="16"/>
      <c r="E160" s="15"/>
      <c r="F160" s="15"/>
      <c r="G160" s="17"/>
    </row>
    <row r="161" spans="1:7" ht="12" customHeight="1">
      <c r="A161" s="5">
        <v>154</v>
      </c>
      <c r="B161" s="11" t="str">
        <f t="shared" si="4"/>
        <v/>
      </c>
      <c r="C161" s="15"/>
      <c r="D161" s="16"/>
      <c r="E161" s="15"/>
      <c r="F161" s="15"/>
      <c r="G161" s="17"/>
    </row>
    <row r="162" spans="1:7" ht="12" customHeight="1">
      <c r="A162" s="5">
        <v>155</v>
      </c>
      <c r="B162" s="11" t="str">
        <f t="shared" si="4"/>
        <v/>
      </c>
      <c r="C162" s="15"/>
      <c r="D162" s="16"/>
      <c r="E162" s="15"/>
      <c r="F162" s="15"/>
      <c r="G162" s="17"/>
    </row>
    <row r="163" spans="1:7" ht="12" customHeight="1">
      <c r="A163" s="5">
        <v>156</v>
      </c>
      <c r="B163" s="11" t="str">
        <f t="shared" si="4"/>
        <v/>
      </c>
      <c r="C163" s="15"/>
      <c r="D163" s="16"/>
      <c r="E163" s="15"/>
      <c r="F163" s="15"/>
      <c r="G163" s="17"/>
    </row>
    <row r="164" spans="1:7" ht="12" customHeight="1">
      <c r="A164" s="5">
        <v>157</v>
      </c>
      <c r="B164" s="11" t="str">
        <f t="shared" si="4"/>
        <v/>
      </c>
      <c r="C164" s="15"/>
      <c r="D164" s="16"/>
      <c r="E164" s="15"/>
      <c r="F164" s="15"/>
      <c r="G164" s="17"/>
    </row>
    <row r="165" spans="1:7" ht="12" customHeight="1">
      <c r="A165" s="5">
        <v>158</v>
      </c>
      <c r="B165" s="11" t="str">
        <f t="shared" si="4"/>
        <v/>
      </c>
      <c r="C165" s="15"/>
      <c r="D165" s="16"/>
      <c r="E165" s="15"/>
      <c r="F165" s="15"/>
      <c r="G165" s="17"/>
    </row>
    <row r="166" spans="1:7" ht="12" customHeight="1">
      <c r="A166" s="5">
        <v>159</v>
      </c>
      <c r="B166" s="11" t="str">
        <f t="shared" si="4"/>
        <v/>
      </c>
      <c r="C166" s="15"/>
      <c r="D166" s="16"/>
      <c r="E166" s="15"/>
      <c r="F166" s="15"/>
      <c r="G166" s="17"/>
    </row>
    <row r="167" spans="1:7" ht="12" customHeight="1">
      <c r="A167" s="5">
        <v>160</v>
      </c>
      <c r="B167" s="11" t="str">
        <f t="shared" si="4"/>
        <v/>
      </c>
      <c r="C167" s="15"/>
      <c r="D167" s="16"/>
      <c r="E167" s="15"/>
      <c r="F167" s="15"/>
      <c r="G167" s="17"/>
    </row>
    <row r="168" spans="1:7" ht="12" customHeight="1">
      <c r="A168" s="5">
        <v>161</v>
      </c>
      <c r="B168" s="11" t="str">
        <f t="shared" si="4"/>
        <v/>
      </c>
      <c r="C168" s="15"/>
      <c r="D168" s="16"/>
      <c r="E168" s="15"/>
      <c r="F168" s="15"/>
      <c r="G168" s="17"/>
    </row>
    <row r="169" spans="1:7" ht="12" customHeight="1">
      <c r="A169" s="5">
        <v>162</v>
      </c>
      <c r="B169" s="11" t="str">
        <f t="shared" si="4"/>
        <v/>
      </c>
      <c r="C169" s="15"/>
      <c r="D169" s="16"/>
      <c r="E169" s="15"/>
      <c r="F169" s="15"/>
      <c r="G169" s="17"/>
    </row>
    <row r="170" spans="1:7" ht="12" customHeight="1">
      <c r="A170" s="5">
        <v>163</v>
      </c>
      <c r="B170" s="11" t="str">
        <f t="shared" si="4"/>
        <v/>
      </c>
      <c r="C170" s="15"/>
      <c r="D170" s="16"/>
      <c r="E170" s="15"/>
      <c r="F170" s="15"/>
      <c r="G170" s="17"/>
    </row>
    <row r="171" spans="1:7" ht="12" customHeight="1">
      <c r="A171" s="5">
        <v>164</v>
      </c>
      <c r="B171" s="11" t="str">
        <f t="shared" si="4"/>
        <v/>
      </c>
      <c r="C171" s="15"/>
      <c r="D171" s="16"/>
      <c r="E171" s="15"/>
      <c r="F171" s="15"/>
      <c r="G171" s="17"/>
    </row>
    <row r="172" spans="1:7" ht="12" customHeight="1">
      <c r="A172" s="5">
        <v>165</v>
      </c>
      <c r="B172" s="11" t="str">
        <f t="shared" si="4"/>
        <v/>
      </c>
      <c r="C172" s="15"/>
      <c r="D172" s="16"/>
      <c r="E172" s="15"/>
      <c r="F172" s="15"/>
      <c r="G172" s="17"/>
    </row>
    <row r="173" spans="1:7" ht="12" customHeight="1">
      <c r="A173" s="5">
        <v>166</v>
      </c>
      <c r="B173" s="11" t="str">
        <f t="shared" si="4"/>
        <v/>
      </c>
      <c r="C173" s="15"/>
      <c r="D173" s="16"/>
      <c r="E173" s="15"/>
      <c r="F173" s="15"/>
      <c r="G173" s="17"/>
    </row>
    <row r="174" spans="1:7" ht="12" customHeight="1">
      <c r="A174" s="5">
        <v>167</v>
      </c>
      <c r="B174" s="11" t="str">
        <f t="shared" si="4"/>
        <v/>
      </c>
      <c r="C174" s="15"/>
      <c r="D174" s="16"/>
      <c r="E174" s="15"/>
      <c r="F174" s="15"/>
      <c r="G174" s="17"/>
    </row>
    <row r="175" spans="1:7" ht="12" customHeight="1">
      <c r="A175" s="5">
        <v>168</v>
      </c>
      <c r="B175" s="11" t="str">
        <f t="shared" si="4"/>
        <v/>
      </c>
      <c r="C175" s="15"/>
      <c r="D175" s="16"/>
      <c r="E175" s="15"/>
      <c r="F175" s="15"/>
      <c r="G175" s="17"/>
    </row>
    <row r="176" spans="1:7" ht="12" customHeight="1">
      <c r="A176" s="5">
        <v>169</v>
      </c>
      <c r="B176" s="11" t="str">
        <f t="shared" si="4"/>
        <v/>
      </c>
      <c r="C176" s="15"/>
      <c r="D176" s="16"/>
      <c r="E176" s="15"/>
      <c r="F176" s="15"/>
      <c r="G176" s="17"/>
    </row>
    <row r="177" spans="1:7" ht="12" customHeight="1">
      <c r="A177" s="5">
        <v>170</v>
      </c>
      <c r="B177" s="11" t="str">
        <f t="shared" si="4"/>
        <v/>
      </c>
      <c r="C177" s="15"/>
      <c r="D177" s="16"/>
      <c r="E177" s="15"/>
      <c r="F177" s="15"/>
      <c r="G177" s="17"/>
    </row>
    <row r="178" spans="1:7" ht="12" customHeight="1">
      <c r="A178" s="5">
        <v>171</v>
      </c>
      <c r="B178" s="11" t="str">
        <f t="shared" si="4"/>
        <v/>
      </c>
      <c r="C178" s="15"/>
      <c r="D178" s="16"/>
      <c r="E178" s="15"/>
      <c r="F178" s="15"/>
      <c r="G178" s="17"/>
    </row>
    <row r="179" spans="1:7" ht="12" customHeight="1">
      <c r="A179" s="5">
        <v>172</v>
      </c>
      <c r="B179" s="11" t="str">
        <f t="shared" si="4"/>
        <v/>
      </c>
      <c r="C179" s="15"/>
      <c r="D179" s="16"/>
      <c r="E179" s="15"/>
      <c r="F179" s="15"/>
      <c r="G179" s="17"/>
    </row>
    <row r="180" spans="1:7" ht="12" customHeight="1">
      <c r="A180" s="5">
        <v>173</v>
      </c>
      <c r="B180" s="11" t="str">
        <f t="shared" si="4"/>
        <v/>
      </c>
      <c r="C180" s="15"/>
      <c r="D180" s="16"/>
      <c r="E180" s="15"/>
      <c r="F180" s="15"/>
      <c r="G180" s="17"/>
    </row>
    <row r="181" spans="1:7" ht="12" customHeight="1">
      <c r="A181" s="5">
        <v>174</v>
      </c>
      <c r="B181" s="11" t="str">
        <f t="shared" si="4"/>
        <v/>
      </c>
      <c r="C181" s="15"/>
      <c r="D181" s="16"/>
      <c r="E181" s="15"/>
      <c r="F181" s="15"/>
      <c r="G181" s="17"/>
    </row>
    <row r="182" spans="1:7" ht="12" customHeight="1">
      <c r="A182" s="5">
        <v>175</v>
      </c>
      <c r="B182" s="11" t="str">
        <f t="shared" si="4"/>
        <v/>
      </c>
      <c r="C182" s="15"/>
      <c r="D182" s="16"/>
      <c r="E182" s="15"/>
      <c r="F182" s="15"/>
      <c r="G182" s="17"/>
    </row>
    <row r="183" spans="1:7" ht="12" customHeight="1">
      <c r="A183" s="5">
        <v>176</v>
      </c>
      <c r="B183" s="11" t="str">
        <f t="shared" si="4"/>
        <v/>
      </c>
      <c r="C183" s="15"/>
      <c r="D183" s="16"/>
      <c r="E183" s="15"/>
      <c r="F183" s="15"/>
      <c r="G183" s="17"/>
    </row>
    <row r="184" spans="1:7" ht="12" customHeight="1">
      <c r="A184" s="5">
        <v>177</v>
      </c>
      <c r="B184" s="11" t="str">
        <f t="shared" si="4"/>
        <v/>
      </c>
      <c r="C184" s="15"/>
      <c r="D184" s="16"/>
      <c r="E184" s="15"/>
      <c r="F184" s="15"/>
      <c r="G184" s="17"/>
    </row>
    <row r="185" spans="1:7" ht="12" customHeight="1">
      <c r="A185" s="5">
        <v>178</v>
      </c>
      <c r="B185" s="11" t="str">
        <f t="shared" si="4"/>
        <v/>
      </c>
      <c r="C185" s="15"/>
      <c r="D185" s="16"/>
      <c r="E185" s="15"/>
      <c r="F185" s="15"/>
      <c r="G185" s="17"/>
    </row>
    <row r="186" spans="1:7" ht="12" customHeight="1">
      <c r="A186" s="5">
        <v>179</v>
      </c>
      <c r="B186" s="11" t="str">
        <f t="shared" si="4"/>
        <v/>
      </c>
      <c r="C186" s="15"/>
      <c r="D186" s="16"/>
      <c r="E186" s="15"/>
      <c r="F186" s="15"/>
      <c r="G186" s="17"/>
    </row>
    <row r="187" spans="1:7" ht="12" customHeight="1">
      <c r="A187" s="5">
        <v>180</v>
      </c>
      <c r="B187" s="11" t="str">
        <f t="shared" si="4"/>
        <v/>
      </c>
      <c r="C187" s="15"/>
      <c r="D187" s="16"/>
      <c r="E187" s="15"/>
      <c r="F187" s="15"/>
      <c r="G187" s="17"/>
    </row>
    <row r="188" spans="1:7" ht="12" customHeight="1">
      <c r="A188" s="5">
        <v>181</v>
      </c>
      <c r="B188" s="11" t="str">
        <f t="shared" si="4"/>
        <v/>
      </c>
      <c r="C188" s="15"/>
      <c r="D188" s="16"/>
      <c r="E188" s="15"/>
      <c r="F188" s="15"/>
      <c r="G188" s="17"/>
    </row>
    <row r="189" spans="1:7" ht="12" customHeight="1">
      <c r="A189" s="5">
        <v>182</v>
      </c>
      <c r="B189" s="11" t="str">
        <f t="shared" si="4"/>
        <v/>
      </c>
      <c r="C189" s="15"/>
      <c r="D189" s="16"/>
      <c r="E189" s="15"/>
      <c r="F189" s="15"/>
      <c r="G189" s="17"/>
    </row>
    <row r="190" spans="1:7" ht="12" customHeight="1">
      <c r="A190" s="5">
        <v>183</v>
      </c>
      <c r="B190" s="11" t="str">
        <f t="shared" si="4"/>
        <v/>
      </c>
      <c r="C190" s="15"/>
      <c r="D190" s="16"/>
      <c r="E190" s="15"/>
      <c r="F190" s="15"/>
      <c r="G190" s="17"/>
    </row>
    <row r="191" spans="1:7" ht="12" customHeight="1">
      <c r="A191" s="5">
        <v>184</v>
      </c>
      <c r="B191" s="11" t="str">
        <f t="shared" si="4"/>
        <v/>
      </c>
      <c r="C191" s="15"/>
      <c r="D191" s="16"/>
      <c r="E191" s="15"/>
      <c r="F191" s="15"/>
      <c r="G191" s="17"/>
    </row>
    <row r="192" spans="1:7" ht="12" customHeight="1">
      <c r="A192" s="5">
        <v>185</v>
      </c>
      <c r="B192" s="11" t="str">
        <f t="shared" si="4"/>
        <v/>
      </c>
      <c r="C192" s="15"/>
      <c r="D192" s="16"/>
      <c r="E192" s="15"/>
      <c r="F192" s="15"/>
      <c r="G192" s="17"/>
    </row>
    <row r="193" spans="1:7" ht="12" customHeight="1">
      <c r="A193" s="5">
        <v>186</v>
      </c>
      <c r="B193" s="11" t="str">
        <f t="shared" si="4"/>
        <v/>
      </c>
      <c r="C193" s="15"/>
      <c r="D193" s="16"/>
      <c r="E193" s="15"/>
      <c r="F193" s="15"/>
      <c r="G193" s="17"/>
    </row>
    <row r="194" spans="1:7" ht="12" customHeight="1">
      <c r="A194" s="5">
        <v>187</v>
      </c>
      <c r="B194" s="11" t="str">
        <f t="shared" si="4"/>
        <v/>
      </c>
      <c r="C194" s="15"/>
      <c r="D194" s="16"/>
      <c r="E194" s="15"/>
      <c r="F194" s="15"/>
      <c r="G194" s="17"/>
    </row>
    <row r="195" spans="1:7" ht="12" customHeight="1">
      <c r="A195" s="5">
        <v>188</v>
      </c>
      <c r="B195" s="11" t="str">
        <f t="shared" si="4"/>
        <v/>
      </c>
      <c r="C195" s="15"/>
      <c r="D195" s="16"/>
      <c r="E195" s="15"/>
      <c r="F195" s="15"/>
      <c r="G195" s="17"/>
    </row>
    <row r="196" spans="1:7" ht="12" customHeight="1">
      <c r="A196" s="5">
        <v>189</v>
      </c>
      <c r="B196" s="11" t="str">
        <f t="shared" si="4"/>
        <v/>
      </c>
      <c r="C196" s="15"/>
      <c r="D196" s="16"/>
      <c r="E196" s="15"/>
      <c r="F196" s="15"/>
      <c r="G196" s="17"/>
    </row>
    <row r="197" spans="1:7" ht="12" customHeight="1">
      <c r="A197" s="5">
        <v>190</v>
      </c>
      <c r="B197" s="11" t="str">
        <f t="shared" si="4"/>
        <v/>
      </c>
      <c r="C197" s="15"/>
      <c r="D197" s="16"/>
      <c r="E197" s="15"/>
      <c r="F197" s="15"/>
      <c r="G197" s="17"/>
    </row>
    <row r="198" spans="1:7" ht="12" customHeight="1">
      <c r="A198" s="5">
        <v>191</v>
      </c>
      <c r="B198" s="11" t="str">
        <f t="shared" si="4"/>
        <v/>
      </c>
      <c r="C198" s="15"/>
      <c r="D198" s="16"/>
      <c r="E198" s="15"/>
      <c r="F198" s="15"/>
      <c r="G198" s="17"/>
    </row>
    <row r="199" spans="1:7" ht="12" customHeight="1">
      <c r="A199" s="5">
        <v>192</v>
      </c>
      <c r="B199" s="11" t="str">
        <f t="shared" si="4"/>
        <v/>
      </c>
      <c r="C199" s="15"/>
      <c r="D199" s="16"/>
      <c r="E199" s="15"/>
      <c r="F199" s="15"/>
      <c r="G199" s="17"/>
    </row>
    <row r="200" spans="1:7" ht="12" customHeight="1">
      <c r="A200" s="5">
        <v>193</v>
      </c>
      <c r="B200" s="11" t="str">
        <f t="shared" si="4"/>
        <v/>
      </c>
      <c r="C200" s="15"/>
      <c r="D200" s="16"/>
      <c r="E200" s="15"/>
      <c r="F200" s="15"/>
      <c r="G200" s="17"/>
    </row>
    <row r="201" spans="1:7" ht="12" customHeight="1">
      <c r="A201" s="5">
        <v>194</v>
      </c>
      <c r="B201" s="11" t="str">
        <f t="shared" ref="B201:B207" si="5">IF(D201&gt;=$G$6,0,IF(D201="","",(DATEDIF(D201,$G$6,"Y"))))</f>
        <v/>
      </c>
      <c r="C201" s="15"/>
      <c r="D201" s="16"/>
      <c r="E201" s="15"/>
      <c r="F201" s="15"/>
      <c r="G201" s="17"/>
    </row>
    <row r="202" spans="1:7" ht="12" customHeight="1">
      <c r="A202" s="5">
        <v>195</v>
      </c>
      <c r="B202" s="11" t="str">
        <f t="shared" si="5"/>
        <v/>
      </c>
      <c r="C202" s="15"/>
      <c r="D202" s="16"/>
      <c r="E202" s="15"/>
      <c r="F202" s="15"/>
      <c r="G202" s="17"/>
    </row>
    <row r="203" spans="1:7" ht="12" customHeight="1">
      <c r="A203" s="5">
        <v>196</v>
      </c>
      <c r="B203" s="11" t="str">
        <f t="shared" si="5"/>
        <v/>
      </c>
      <c r="C203" s="15"/>
      <c r="D203" s="16"/>
      <c r="E203" s="15"/>
      <c r="F203" s="15"/>
      <c r="G203" s="17"/>
    </row>
    <row r="204" spans="1:7" ht="12" customHeight="1">
      <c r="A204" s="5">
        <v>197</v>
      </c>
      <c r="B204" s="11" t="str">
        <f t="shared" si="5"/>
        <v/>
      </c>
      <c r="C204" s="15"/>
      <c r="D204" s="16"/>
      <c r="E204" s="15"/>
      <c r="F204" s="15"/>
      <c r="G204" s="17"/>
    </row>
    <row r="205" spans="1:7" ht="12" customHeight="1">
      <c r="A205" s="5">
        <v>198</v>
      </c>
      <c r="B205" s="11" t="str">
        <f t="shared" si="5"/>
        <v/>
      </c>
      <c r="C205" s="15"/>
      <c r="D205" s="16"/>
      <c r="E205" s="15"/>
      <c r="F205" s="15"/>
      <c r="G205" s="17"/>
    </row>
    <row r="206" spans="1:7" ht="12" customHeight="1">
      <c r="A206" s="5">
        <v>199</v>
      </c>
      <c r="B206" s="11" t="str">
        <f t="shared" si="5"/>
        <v/>
      </c>
      <c r="C206" s="15"/>
      <c r="D206" s="16"/>
      <c r="E206" s="15"/>
      <c r="F206" s="15"/>
      <c r="G206" s="17"/>
    </row>
    <row r="207" spans="1:7" ht="12" customHeight="1">
      <c r="A207" s="5">
        <v>200</v>
      </c>
      <c r="B207" s="11" t="str">
        <f t="shared" si="5"/>
        <v/>
      </c>
      <c r="C207" s="15"/>
      <c r="D207" s="16"/>
      <c r="E207" s="15"/>
      <c r="F207" s="15"/>
      <c r="G207" s="17"/>
    </row>
    <row r="208" spans="1:7" ht="12" customHeight="1">
      <c r="A208" s="5">
        <v>201</v>
      </c>
      <c r="B208" s="11" t="str">
        <f t="shared" ref="B208:B264" si="6">IF(D208&gt;=$G$6,0,IF(D208="","",(DATEDIF(D208,$G$6,"Y"))))</f>
        <v/>
      </c>
      <c r="C208" s="15"/>
      <c r="D208" s="16"/>
      <c r="E208" s="15"/>
      <c r="F208" s="15"/>
      <c r="G208" s="17"/>
    </row>
    <row r="209" spans="1:7" ht="12" customHeight="1">
      <c r="A209" s="5">
        <v>202</v>
      </c>
      <c r="B209" s="11" t="str">
        <f t="shared" si="6"/>
        <v/>
      </c>
      <c r="C209" s="15"/>
      <c r="D209" s="16"/>
      <c r="E209" s="15"/>
      <c r="F209" s="15"/>
      <c r="G209" s="17"/>
    </row>
    <row r="210" spans="1:7" ht="12" customHeight="1">
      <c r="A210" s="5">
        <v>203</v>
      </c>
      <c r="B210" s="11" t="str">
        <f t="shared" si="6"/>
        <v/>
      </c>
      <c r="C210" s="15"/>
      <c r="D210" s="16"/>
      <c r="E210" s="15"/>
      <c r="F210" s="15"/>
      <c r="G210" s="17"/>
    </row>
    <row r="211" spans="1:7" ht="12" customHeight="1">
      <c r="A211" s="5">
        <v>204</v>
      </c>
      <c r="B211" s="11" t="str">
        <f t="shared" si="6"/>
        <v/>
      </c>
      <c r="C211" s="15"/>
      <c r="D211" s="16"/>
      <c r="E211" s="15"/>
      <c r="F211" s="15"/>
      <c r="G211" s="17"/>
    </row>
    <row r="212" spans="1:7" ht="12" customHeight="1">
      <c r="A212" s="5">
        <v>205</v>
      </c>
      <c r="B212" s="11" t="str">
        <f t="shared" si="6"/>
        <v/>
      </c>
      <c r="C212" s="15"/>
      <c r="D212" s="16"/>
      <c r="E212" s="15"/>
      <c r="F212" s="15"/>
      <c r="G212" s="17"/>
    </row>
    <row r="213" spans="1:7" ht="12" customHeight="1">
      <c r="A213" s="5">
        <v>206</v>
      </c>
      <c r="B213" s="11" t="str">
        <f t="shared" si="6"/>
        <v/>
      </c>
      <c r="C213" s="15"/>
      <c r="D213" s="16"/>
      <c r="E213" s="15"/>
      <c r="F213" s="15"/>
      <c r="G213" s="17"/>
    </row>
    <row r="214" spans="1:7" ht="12" customHeight="1">
      <c r="A214" s="5">
        <v>207</v>
      </c>
      <c r="B214" s="11" t="str">
        <f t="shared" si="6"/>
        <v/>
      </c>
      <c r="C214" s="15"/>
      <c r="D214" s="16"/>
      <c r="E214" s="15"/>
      <c r="F214" s="15"/>
      <c r="G214" s="17"/>
    </row>
    <row r="215" spans="1:7" ht="12" customHeight="1">
      <c r="A215" s="5">
        <v>208</v>
      </c>
      <c r="B215" s="11" t="str">
        <f t="shared" si="6"/>
        <v/>
      </c>
      <c r="C215" s="15"/>
      <c r="D215" s="16"/>
      <c r="E215" s="15"/>
      <c r="F215" s="15"/>
      <c r="G215" s="17"/>
    </row>
    <row r="216" spans="1:7" ht="12" customHeight="1">
      <c r="A216" s="5">
        <v>209</v>
      </c>
      <c r="B216" s="11" t="str">
        <f t="shared" si="6"/>
        <v/>
      </c>
      <c r="C216" s="15"/>
      <c r="D216" s="16"/>
      <c r="E216" s="15"/>
      <c r="F216" s="15"/>
      <c r="G216" s="17"/>
    </row>
    <row r="217" spans="1:7" ht="12" customHeight="1">
      <c r="A217" s="5">
        <v>210</v>
      </c>
      <c r="B217" s="11" t="str">
        <f t="shared" si="6"/>
        <v/>
      </c>
      <c r="C217" s="15"/>
      <c r="D217" s="16"/>
      <c r="E217" s="15"/>
      <c r="F217" s="15"/>
      <c r="G217" s="17"/>
    </row>
    <row r="218" spans="1:7" ht="12" customHeight="1">
      <c r="A218" s="5">
        <v>211</v>
      </c>
      <c r="B218" s="11" t="str">
        <f t="shared" si="6"/>
        <v/>
      </c>
      <c r="C218" s="15"/>
      <c r="D218" s="16"/>
      <c r="E218" s="15"/>
      <c r="F218" s="15"/>
      <c r="G218" s="17"/>
    </row>
    <row r="219" spans="1:7" ht="12" customHeight="1">
      <c r="A219" s="5">
        <v>212</v>
      </c>
      <c r="B219" s="11" t="str">
        <f t="shared" si="6"/>
        <v/>
      </c>
      <c r="C219" s="15"/>
      <c r="D219" s="16"/>
      <c r="E219" s="15"/>
      <c r="F219" s="15"/>
      <c r="G219" s="17"/>
    </row>
    <row r="220" spans="1:7" ht="12" customHeight="1">
      <c r="A220" s="5">
        <v>213</v>
      </c>
      <c r="B220" s="11" t="str">
        <f t="shared" si="6"/>
        <v/>
      </c>
      <c r="C220" s="15"/>
      <c r="D220" s="16"/>
      <c r="E220" s="15"/>
      <c r="F220" s="15"/>
      <c r="G220" s="17"/>
    </row>
    <row r="221" spans="1:7" ht="12" customHeight="1">
      <c r="A221" s="5">
        <v>214</v>
      </c>
      <c r="B221" s="11" t="str">
        <f t="shared" si="6"/>
        <v/>
      </c>
      <c r="C221" s="15"/>
      <c r="D221" s="16"/>
      <c r="E221" s="15"/>
      <c r="F221" s="15"/>
      <c r="G221" s="17"/>
    </row>
    <row r="222" spans="1:7" ht="12" customHeight="1">
      <c r="A222" s="5">
        <v>215</v>
      </c>
      <c r="B222" s="11" t="str">
        <f t="shared" si="6"/>
        <v/>
      </c>
      <c r="C222" s="15"/>
      <c r="D222" s="16"/>
      <c r="E222" s="15"/>
      <c r="F222" s="15"/>
      <c r="G222" s="17"/>
    </row>
    <row r="223" spans="1:7" ht="12" customHeight="1">
      <c r="A223" s="5">
        <v>216</v>
      </c>
      <c r="B223" s="11" t="str">
        <f t="shared" si="6"/>
        <v/>
      </c>
      <c r="C223" s="15"/>
      <c r="D223" s="16"/>
      <c r="E223" s="15"/>
      <c r="F223" s="15"/>
      <c r="G223" s="17"/>
    </row>
    <row r="224" spans="1:7" ht="12" customHeight="1">
      <c r="A224" s="5">
        <v>217</v>
      </c>
      <c r="B224" s="11" t="str">
        <f t="shared" si="6"/>
        <v/>
      </c>
      <c r="C224" s="15"/>
      <c r="D224" s="16"/>
      <c r="E224" s="15"/>
      <c r="F224" s="15"/>
      <c r="G224" s="17"/>
    </row>
    <row r="225" spans="1:7" ht="12" customHeight="1">
      <c r="A225" s="5">
        <v>218</v>
      </c>
      <c r="B225" s="11" t="str">
        <f t="shared" si="6"/>
        <v/>
      </c>
      <c r="C225" s="15"/>
      <c r="D225" s="16"/>
      <c r="E225" s="15"/>
      <c r="F225" s="15"/>
      <c r="G225" s="17"/>
    </row>
    <row r="226" spans="1:7" ht="12" customHeight="1">
      <c r="A226" s="5">
        <v>219</v>
      </c>
      <c r="B226" s="11" t="str">
        <f t="shared" si="6"/>
        <v/>
      </c>
      <c r="C226" s="15"/>
      <c r="D226" s="16"/>
      <c r="E226" s="15"/>
      <c r="F226" s="15"/>
      <c r="G226" s="17"/>
    </row>
    <row r="227" spans="1:7" ht="12" customHeight="1">
      <c r="A227" s="5">
        <v>220</v>
      </c>
      <c r="B227" s="11" t="str">
        <f t="shared" si="6"/>
        <v/>
      </c>
      <c r="C227" s="15"/>
      <c r="D227" s="16"/>
      <c r="E227" s="15"/>
      <c r="F227" s="15"/>
      <c r="G227" s="17"/>
    </row>
    <row r="228" spans="1:7" ht="12" customHeight="1">
      <c r="A228" s="5">
        <v>221</v>
      </c>
      <c r="B228" s="11" t="str">
        <f t="shared" si="6"/>
        <v/>
      </c>
      <c r="C228" s="15"/>
      <c r="D228" s="16"/>
      <c r="E228" s="15"/>
      <c r="F228" s="15"/>
      <c r="G228" s="17"/>
    </row>
    <row r="229" spans="1:7" ht="12" customHeight="1">
      <c r="A229" s="5">
        <v>222</v>
      </c>
      <c r="B229" s="11" t="str">
        <f t="shared" si="6"/>
        <v/>
      </c>
      <c r="C229" s="15"/>
      <c r="D229" s="16"/>
      <c r="E229" s="15"/>
      <c r="F229" s="15"/>
      <c r="G229" s="17"/>
    </row>
    <row r="230" spans="1:7" ht="12" customHeight="1">
      <c r="A230" s="5">
        <v>223</v>
      </c>
      <c r="B230" s="11" t="str">
        <f t="shared" si="6"/>
        <v/>
      </c>
      <c r="C230" s="15"/>
      <c r="D230" s="16"/>
      <c r="E230" s="15"/>
      <c r="F230" s="15"/>
      <c r="G230" s="17"/>
    </row>
    <row r="231" spans="1:7" ht="12" customHeight="1">
      <c r="A231" s="5">
        <v>224</v>
      </c>
      <c r="B231" s="11" t="str">
        <f t="shared" si="6"/>
        <v/>
      </c>
      <c r="C231" s="15"/>
      <c r="D231" s="16"/>
      <c r="E231" s="15"/>
      <c r="F231" s="15"/>
      <c r="G231" s="17"/>
    </row>
    <row r="232" spans="1:7" ht="12" customHeight="1">
      <c r="A232" s="5">
        <v>225</v>
      </c>
      <c r="B232" s="11" t="str">
        <f t="shared" si="6"/>
        <v/>
      </c>
      <c r="C232" s="15"/>
      <c r="D232" s="16"/>
      <c r="E232" s="15"/>
      <c r="F232" s="15"/>
      <c r="G232" s="17"/>
    </row>
    <row r="233" spans="1:7" ht="12" customHeight="1">
      <c r="A233" s="5">
        <v>226</v>
      </c>
      <c r="B233" s="11" t="str">
        <f t="shared" si="6"/>
        <v/>
      </c>
      <c r="C233" s="15"/>
      <c r="D233" s="16"/>
      <c r="E233" s="15"/>
      <c r="F233" s="15"/>
      <c r="G233" s="17"/>
    </row>
    <row r="234" spans="1:7" ht="12" customHeight="1">
      <c r="A234" s="5">
        <v>227</v>
      </c>
      <c r="B234" s="11" t="str">
        <f t="shared" si="6"/>
        <v/>
      </c>
      <c r="C234" s="15"/>
      <c r="D234" s="16"/>
      <c r="E234" s="15"/>
      <c r="F234" s="15"/>
      <c r="G234" s="17"/>
    </row>
    <row r="235" spans="1:7" ht="12" customHeight="1">
      <c r="A235" s="5">
        <v>228</v>
      </c>
      <c r="B235" s="11" t="str">
        <f t="shared" si="6"/>
        <v/>
      </c>
      <c r="C235" s="15"/>
      <c r="D235" s="16"/>
      <c r="E235" s="15"/>
      <c r="F235" s="15"/>
      <c r="G235" s="17"/>
    </row>
    <row r="236" spans="1:7" ht="12" customHeight="1">
      <c r="A236" s="5">
        <v>229</v>
      </c>
      <c r="B236" s="11" t="str">
        <f t="shared" si="6"/>
        <v/>
      </c>
      <c r="C236" s="15"/>
      <c r="D236" s="16"/>
      <c r="E236" s="15"/>
      <c r="F236" s="15"/>
      <c r="G236" s="17"/>
    </row>
    <row r="237" spans="1:7" ht="12" customHeight="1">
      <c r="A237" s="5">
        <v>230</v>
      </c>
      <c r="B237" s="11" t="str">
        <f t="shared" si="6"/>
        <v/>
      </c>
      <c r="C237" s="15"/>
      <c r="D237" s="16"/>
      <c r="E237" s="15"/>
      <c r="F237" s="15"/>
      <c r="G237" s="17"/>
    </row>
    <row r="238" spans="1:7" ht="12" customHeight="1">
      <c r="A238" s="5">
        <v>231</v>
      </c>
      <c r="B238" s="11" t="str">
        <f t="shared" si="6"/>
        <v/>
      </c>
      <c r="C238" s="15"/>
      <c r="D238" s="16"/>
      <c r="E238" s="15"/>
      <c r="F238" s="15"/>
      <c r="G238" s="17"/>
    </row>
    <row r="239" spans="1:7" ht="12" customHeight="1">
      <c r="A239" s="5">
        <v>232</v>
      </c>
      <c r="B239" s="11" t="str">
        <f t="shared" si="6"/>
        <v/>
      </c>
      <c r="C239" s="15"/>
      <c r="D239" s="16"/>
      <c r="E239" s="15"/>
      <c r="F239" s="15"/>
      <c r="G239" s="17"/>
    </row>
    <row r="240" spans="1:7" ht="12" customHeight="1">
      <c r="A240" s="5">
        <v>233</v>
      </c>
      <c r="B240" s="11" t="str">
        <f t="shared" si="6"/>
        <v/>
      </c>
      <c r="C240" s="15"/>
      <c r="D240" s="16"/>
      <c r="E240" s="15"/>
      <c r="F240" s="15"/>
      <c r="G240" s="17"/>
    </row>
    <row r="241" spans="1:7" ht="12" customHeight="1">
      <c r="A241" s="5">
        <v>234</v>
      </c>
      <c r="B241" s="11" t="str">
        <f t="shared" si="6"/>
        <v/>
      </c>
      <c r="C241" s="15"/>
      <c r="D241" s="16"/>
      <c r="E241" s="15"/>
      <c r="F241" s="15"/>
      <c r="G241" s="17"/>
    </row>
    <row r="242" spans="1:7" ht="12" customHeight="1">
      <c r="A242" s="5">
        <v>235</v>
      </c>
      <c r="B242" s="11" t="str">
        <f t="shared" si="6"/>
        <v/>
      </c>
      <c r="C242" s="15"/>
      <c r="D242" s="16"/>
      <c r="E242" s="15"/>
      <c r="F242" s="15"/>
      <c r="G242" s="17"/>
    </row>
    <row r="243" spans="1:7" ht="12" customHeight="1">
      <c r="A243" s="5">
        <v>236</v>
      </c>
      <c r="B243" s="11" t="str">
        <f t="shared" si="6"/>
        <v/>
      </c>
      <c r="C243" s="15"/>
      <c r="D243" s="16"/>
      <c r="E243" s="15"/>
      <c r="F243" s="15"/>
      <c r="G243" s="17"/>
    </row>
    <row r="244" spans="1:7" ht="12" customHeight="1">
      <c r="A244" s="5">
        <v>237</v>
      </c>
      <c r="B244" s="11" t="str">
        <f t="shared" si="6"/>
        <v/>
      </c>
      <c r="C244" s="15"/>
      <c r="D244" s="16"/>
      <c r="E244" s="15"/>
      <c r="F244" s="15"/>
      <c r="G244" s="17"/>
    </row>
    <row r="245" spans="1:7" ht="12" customHeight="1">
      <c r="A245" s="5">
        <v>238</v>
      </c>
      <c r="B245" s="11" t="str">
        <f t="shared" si="6"/>
        <v/>
      </c>
      <c r="C245" s="15"/>
      <c r="D245" s="16"/>
      <c r="E245" s="15"/>
      <c r="F245" s="15"/>
      <c r="G245" s="17"/>
    </row>
    <row r="246" spans="1:7" ht="12" customHeight="1">
      <c r="A246" s="5">
        <v>239</v>
      </c>
      <c r="B246" s="11" t="str">
        <f t="shared" si="6"/>
        <v/>
      </c>
      <c r="C246" s="15"/>
      <c r="D246" s="16"/>
      <c r="E246" s="15"/>
      <c r="F246" s="15"/>
      <c r="G246" s="17"/>
    </row>
    <row r="247" spans="1:7" ht="12" customHeight="1">
      <c r="A247" s="5">
        <v>240</v>
      </c>
      <c r="B247" s="11" t="str">
        <f t="shared" si="6"/>
        <v/>
      </c>
      <c r="C247" s="15"/>
      <c r="D247" s="16"/>
      <c r="E247" s="15"/>
      <c r="F247" s="15"/>
      <c r="G247" s="17"/>
    </row>
    <row r="248" spans="1:7" ht="12" customHeight="1">
      <c r="A248" s="5">
        <v>241</v>
      </c>
      <c r="B248" s="11" t="str">
        <f t="shared" si="6"/>
        <v/>
      </c>
      <c r="C248" s="15"/>
      <c r="D248" s="16"/>
      <c r="E248" s="15"/>
      <c r="F248" s="15"/>
      <c r="G248" s="17"/>
    </row>
    <row r="249" spans="1:7" ht="12" customHeight="1">
      <c r="A249" s="5">
        <v>242</v>
      </c>
      <c r="B249" s="11" t="str">
        <f t="shared" si="6"/>
        <v/>
      </c>
      <c r="C249" s="15"/>
      <c r="D249" s="16"/>
      <c r="E249" s="15"/>
      <c r="F249" s="15"/>
      <c r="G249" s="17"/>
    </row>
    <row r="250" spans="1:7" ht="12" customHeight="1">
      <c r="A250" s="5">
        <v>243</v>
      </c>
      <c r="B250" s="11" t="str">
        <f t="shared" si="6"/>
        <v/>
      </c>
      <c r="C250" s="15"/>
      <c r="D250" s="16"/>
      <c r="E250" s="15"/>
      <c r="F250" s="15"/>
      <c r="G250" s="17"/>
    </row>
    <row r="251" spans="1:7" ht="12" customHeight="1">
      <c r="A251" s="5">
        <v>244</v>
      </c>
      <c r="B251" s="11" t="str">
        <f t="shared" si="6"/>
        <v/>
      </c>
      <c r="C251" s="15"/>
      <c r="D251" s="16"/>
      <c r="E251" s="15"/>
      <c r="F251" s="15"/>
      <c r="G251" s="17"/>
    </row>
    <row r="252" spans="1:7" ht="12" customHeight="1">
      <c r="A252" s="5">
        <v>245</v>
      </c>
      <c r="B252" s="11" t="str">
        <f t="shared" si="6"/>
        <v/>
      </c>
      <c r="C252" s="15"/>
      <c r="D252" s="16"/>
      <c r="E252" s="15"/>
      <c r="F252" s="15"/>
      <c r="G252" s="17"/>
    </row>
    <row r="253" spans="1:7" ht="12" customHeight="1">
      <c r="A253" s="5">
        <v>246</v>
      </c>
      <c r="B253" s="11" t="str">
        <f t="shared" si="6"/>
        <v/>
      </c>
      <c r="C253" s="15"/>
      <c r="D253" s="16"/>
      <c r="E253" s="15"/>
      <c r="F253" s="15"/>
      <c r="G253" s="17"/>
    </row>
    <row r="254" spans="1:7" ht="12" customHeight="1">
      <c r="A254" s="5">
        <v>247</v>
      </c>
      <c r="B254" s="11" t="str">
        <f t="shared" si="6"/>
        <v/>
      </c>
      <c r="C254" s="15"/>
      <c r="D254" s="16"/>
      <c r="E254" s="15"/>
      <c r="F254" s="15"/>
      <c r="G254" s="17"/>
    </row>
    <row r="255" spans="1:7" ht="12" customHeight="1">
      <c r="A255" s="5">
        <v>248</v>
      </c>
      <c r="B255" s="11" t="str">
        <f t="shared" si="6"/>
        <v/>
      </c>
      <c r="C255" s="15"/>
      <c r="D255" s="16"/>
      <c r="E255" s="15"/>
      <c r="F255" s="15"/>
      <c r="G255" s="17"/>
    </row>
    <row r="256" spans="1:7" ht="12" customHeight="1">
      <c r="A256" s="5">
        <v>249</v>
      </c>
      <c r="B256" s="11" t="str">
        <f t="shared" si="6"/>
        <v/>
      </c>
      <c r="C256" s="15"/>
      <c r="D256" s="16"/>
      <c r="E256" s="15"/>
      <c r="F256" s="15"/>
      <c r="G256" s="17"/>
    </row>
    <row r="257" spans="1:7" ht="12" customHeight="1">
      <c r="A257" s="5">
        <v>250</v>
      </c>
      <c r="B257" s="11" t="str">
        <f t="shared" si="6"/>
        <v/>
      </c>
      <c r="C257" s="15"/>
      <c r="D257" s="16"/>
      <c r="E257" s="15"/>
      <c r="F257" s="15"/>
      <c r="G257" s="17"/>
    </row>
    <row r="258" spans="1:7" ht="12" customHeight="1">
      <c r="A258" s="5">
        <v>251</v>
      </c>
      <c r="B258" s="11" t="str">
        <f t="shared" si="6"/>
        <v/>
      </c>
      <c r="C258" s="15"/>
      <c r="D258" s="16"/>
      <c r="E258" s="15"/>
      <c r="F258" s="15"/>
      <c r="G258" s="17"/>
    </row>
    <row r="259" spans="1:7" ht="12" customHeight="1">
      <c r="A259" s="5">
        <v>252</v>
      </c>
      <c r="B259" s="11" t="str">
        <f t="shared" si="6"/>
        <v/>
      </c>
      <c r="C259" s="15"/>
      <c r="D259" s="16"/>
      <c r="E259" s="15"/>
      <c r="F259" s="15"/>
      <c r="G259" s="17"/>
    </row>
    <row r="260" spans="1:7" ht="12" customHeight="1">
      <c r="A260" s="5">
        <v>253</v>
      </c>
      <c r="B260" s="11" t="str">
        <f t="shared" si="6"/>
        <v/>
      </c>
      <c r="C260" s="15"/>
      <c r="D260" s="16"/>
      <c r="E260" s="15"/>
      <c r="F260" s="15"/>
      <c r="G260" s="17"/>
    </row>
    <row r="261" spans="1:7" ht="12" customHeight="1">
      <c r="A261" s="5">
        <v>254</v>
      </c>
      <c r="B261" s="11" t="str">
        <f t="shared" si="6"/>
        <v/>
      </c>
      <c r="C261" s="15"/>
      <c r="D261" s="16"/>
      <c r="E261" s="15"/>
      <c r="F261" s="15"/>
      <c r="G261" s="17"/>
    </row>
    <row r="262" spans="1:7" ht="12" customHeight="1">
      <c r="A262" s="5">
        <v>255</v>
      </c>
      <c r="B262" s="11" t="str">
        <f t="shared" si="6"/>
        <v/>
      </c>
      <c r="C262" s="15"/>
      <c r="D262" s="16"/>
      <c r="E262" s="15"/>
      <c r="F262" s="15"/>
      <c r="G262" s="17"/>
    </row>
    <row r="263" spans="1:7" ht="12" customHeight="1">
      <c r="A263" s="5">
        <v>256</v>
      </c>
      <c r="B263" s="11" t="str">
        <f t="shared" si="6"/>
        <v/>
      </c>
      <c r="C263" s="15"/>
      <c r="D263" s="16"/>
      <c r="E263" s="15"/>
      <c r="F263" s="15"/>
      <c r="G263" s="17"/>
    </row>
    <row r="264" spans="1:7" ht="12" customHeight="1">
      <c r="A264" s="5">
        <v>257</v>
      </c>
      <c r="B264" s="11" t="str">
        <f t="shared" si="6"/>
        <v/>
      </c>
      <c r="C264" s="15"/>
      <c r="D264" s="16"/>
      <c r="E264" s="15"/>
      <c r="F264" s="15"/>
      <c r="G264" s="17"/>
    </row>
    <row r="265" spans="1:7" ht="12" customHeight="1">
      <c r="A265" s="5">
        <v>258</v>
      </c>
      <c r="B265" s="11" t="str">
        <f t="shared" ref="B265:B306" si="7">IF(D265&gt;=$G$6,0,IF(D265="","",(DATEDIF(D265,$G$6,"Y"))))</f>
        <v/>
      </c>
      <c r="C265" s="15"/>
      <c r="D265" s="16"/>
      <c r="E265" s="15"/>
      <c r="F265" s="15"/>
      <c r="G265" s="17"/>
    </row>
    <row r="266" spans="1:7" ht="12" customHeight="1">
      <c r="A266" s="5">
        <v>259</v>
      </c>
      <c r="B266" s="11" t="str">
        <f t="shared" si="7"/>
        <v/>
      </c>
      <c r="C266" s="15"/>
      <c r="D266" s="16"/>
      <c r="E266" s="15"/>
      <c r="F266" s="15"/>
      <c r="G266" s="17"/>
    </row>
    <row r="267" spans="1:7" ht="12" customHeight="1">
      <c r="A267" s="5">
        <v>260</v>
      </c>
      <c r="B267" s="11" t="str">
        <f t="shared" si="7"/>
        <v/>
      </c>
      <c r="C267" s="15"/>
      <c r="D267" s="16"/>
      <c r="E267" s="15"/>
      <c r="F267" s="15"/>
      <c r="G267" s="17"/>
    </row>
    <row r="268" spans="1:7" ht="12" customHeight="1">
      <c r="A268" s="5">
        <v>261</v>
      </c>
      <c r="B268" s="11" t="str">
        <f t="shared" si="7"/>
        <v/>
      </c>
      <c r="C268" s="15"/>
      <c r="D268" s="16"/>
      <c r="E268" s="15"/>
      <c r="F268" s="15"/>
      <c r="G268" s="17"/>
    </row>
    <row r="269" spans="1:7" ht="12" customHeight="1">
      <c r="A269" s="5">
        <v>262</v>
      </c>
      <c r="B269" s="11" t="str">
        <f t="shared" si="7"/>
        <v/>
      </c>
      <c r="C269" s="15"/>
      <c r="D269" s="16"/>
      <c r="E269" s="15"/>
      <c r="F269" s="15"/>
      <c r="G269" s="17"/>
    </row>
    <row r="270" spans="1:7" ht="12" customHeight="1">
      <c r="A270" s="5">
        <v>263</v>
      </c>
      <c r="B270" s="11" t="str">
        <f t="shared" si="7"/>
        <v/>
      </c>
      <c r="C270" s="15"/>
      <c r="D270" s="16"/>
      <c r="E270" s="15"/>
      <c r="F270" s="15"/>
      <c r="G270" s="17"/>
    </row>
    <row r="271" spans="1:7" ht="12" customHeight="1">
      <c r="A271" s="5">
        <v>264</v>
      </c>
      <c r="B271" s="11" t="str">
        <f t="shared" si="7"/>
        <v/>
      </c>
      <c r="C271" s="15"/>
      <c r="D271" s="16"/>
      <c r="E271" s="15"/>
      <c r="F271" s="15"/>
      <c r="G271" s="17"/>
    </row>
    <row r="272" spans="1:7" ht="12" customHeight="1">
      <c r="A272" s="5">
        <v>265</v>
      </c>
      <c r="B272" s="11" t="str">
        <f t="shared" si="7"/>
        <v/>
      </c>
      <c r="C272" s="15"/>
      <c r="D272" s="16"/>
      <c r="E272" s="15"/>
      <c r="F272" s="15"/>
      <c r="G272" s="17"/>
    </row>
    <row r="273" spans="1:7" ht="12" customHeight="1">
      <c r="A273" s="5">
        <v>266</v>
      </c>
      <c r="B273" s="11" t="str">
        <f t="shared" si="7"/>
        <v/>
      </c>
      <c r="C273" s="15"/>
      <c r="D273" s="16"/>
      <c r="E273" s="15"/>
      <c r="F273" s="15"/>
      <c r="G273" s="17"/>
    </row>
    <row r="274" spans="1:7" ht="12" customHeight="1">
      <c r="A274" s="5">
        <v>267</v>
      </c>
      <c r="B274" s="11" t="str">
        <f t="shared" si="7"/>
        <v/>
      </c>
      <c r="C274" s="15"/>
      <c r="D274" s="16"/>
      <c r="E274" s="15"/>
      <c r="F274" s="15"/>
      <c r="G274" s="17"/>
    </row>
    <row r="275" spans="1:7" ht="12" customHeight="1">
      <c r="A275" s="5">
        <v>268</v>
      </c>
      <c r="B275" s="11" t="str">
        <f t="shared" si="7"/>
        <v/>
      </c>
      <c r="C275" s="15"/>
      <c r="D275" s="16"/>
      <c r="E275" s="15"/>
      <c r="F275" s="15"/>
      <c r="G275" s="17"/>
    </row>
    <row r="276" spans="1:7" ht="12" customHeight="1">
      <c r="A276" s="5">
        <v>269</v>
      </c>
      <c r="B276" s="11" t="str">
        <f t="shared" si="7"/>
        <v/>
      </c>
      <c r="C276" s="15"/>
      <c r="D276" s="16"/>
      <c r="E276" s="15"/>
      <c r="F276" s="15"/>
      <c r="G276" s="17"/>
    </row>
    <row r="277" spans="1:7" ht="12" customHeight="1">
      <c r="A277" s="5">
        <v>270</v>
      </c>
      <c r="B277" s="11" t="str">
        <f t="shared" si="7"/>
        <v/>
      </c>
      <c r="C277" s="15"/>
      <c r="D277" s="16"/>
      <c r="E277" s="15"/>
      <c r="F277" s="15"/>
      <c r="G277" s="17"/>
    </row>
    <row r="278" spans="1:7" ht="12" customHeight="1">
      <c r="A278" s="5">
        <v>271</v>
      </c>
      <c r="B278" s="11" t="str">
        <f t="shared" si="7"/>
        <v/>
      </c>
      <c r="C278" s="15"/>
      <c r="D278" s="16"/>
      <c r="E278" s="15"/>
      <c r="F278" s="15"/>
      <c r="G278" s="17"/>
    </row>
    <row r="279" spans="1:7" ht="12" customHeight="1">
      <c r="A279" s="5">
        <v>272</v>
      </c>
      <c r="B279" s="11" t="str">
        <f t="shared" si="7"/>
        <v/>
      </c>
      <c r="C279" s="15"/>
      <c r="D279" s="16"/>
      <c r="E279" s="15"/>
      <c r="F279" s="15"/>
      <c r="G279" s="17"/>
    </row>
    <row r="280" spans="1:7" ht="12" customHeight="1">
      <c r="A280" s="5">
        <v>273</v>
      </c>
      <c r="B280" s="11" t="str">
        <f t="shared" si="7"/>
        <v/>
      </c>
      <c r="C280" s="15"/>
      <c r="D280" s="16"/>
      <c r="E280" s="15"/>
      <c r="F280" s="15"/>
      <c r="G280" s="17"/>
    </row>
    <row r="281" spans="1:7" ht="12" customHeight="1">
      <c r="A281" s="5">
        <v>274</v>
      </c>
      <c r="B281" s="11" t="str">
        <f t="shared" si="7"/>
        <v/>
      </c>
      <c r="C281" s="15"/>
      <c r="D281" s="16"/>
      <c r="E281" s="15"/>
      <c r="F281" s="15"/>
      <c r="G281" s="17"/>
    </row>
    <row r="282" spans="1:7" ht="12" customHeight="1">
      <c r="A282" s="5">
        <v>275</v>
      </c>
      <c r="B282" s="11" t="str">
        <f t="shared" si="7"/>
        <v/>
      </c>
      <c r="C282" s="15"/>
      <c r="D282" s="16"/>
      <c r="E282" s="15"/>
      <c r="F282" s="15"/>
      <c r="G282" s="17"/>
    </row>
    <row r="283" spans="1:7" ht="12" customHeight="1">
      <c r="A283" s="5">
        <v>276</v>
      </c>
      <c r="B283" s="11" t="str">
        <f t="shared" si="7"/>
        <v/>
      </c>
      <c r="C283" s="15"/>
      <c r="D283" s="16"/>
      <c r="E283" s="15"/>
      <c r="F283" s="15"/>
      <c r="G283" s="17"/>
    </row>
    <row r="284" spans="1:7" ht="12" customHeight="1">
      <c r="A284" s="5">
        <v>277</v>
      </c>
      <c r="B284" s="11" t="str">
        <f t="shared" si="7"/>
        <v/>
      </c>
      <c r="C284" s="15"/>
      <c r="D284" s="16"/>
      <c r="E284" s="15"/>
      <c r="F284" s="15"/>
      <c r="G284" s="17"/>
    </row>
    <row r="285" spans="1:7" ht="12" customHeight="1">
      <c r="A285" s="5">
        <v>278</v>
      </c>
      <c r="B285" s="11" t="str">
        <f t="shared" si="7"/>
        <v/>
      </c>
      <c r="C285" s="15"/>
      <c r="D285" s="16"/>
      <c r="E285" s="15"/>
      <c r="F285" s="15"/>
      <c r="G285" s="17"/>
    </row>
    <row r="286" spans="1:7" ht="12" customHeight="1">
      <c r="A286" s="5">
        <v>279</v>
      </c>
      <c r="B286" s="11" t="str">
        <f t="shared" si="7"/>
        <v/>
      </c>
      <c r="C286" s="15"/>
      <c r="D286" s="16"/>
      <c r="E286" s="15"/>
      <c r="F286" s="15"/>
      <c r="G286" s="17"/>
    </row>
    <row r="287" spans="1:7" ht="12" customHeight="1">
      <c r="A287" s="5">
        <v>280</v>
      </c>
      <c r="B287" s="11" t="str">
        <f t="shared" si="7"/>
        <v/>
      </c>
      <c r="C287" s="15"/>
      <c r="D287" s="16"/>
      <c r="E287" s="15"/>
      <c r="F287" s="15"/>
      <c r="G287" s="17"/>
    </row>
    <row r="288" spans="1:7" ht="12" customHeight="1">
      <c r="A288" s="5">
        <v>281</v>
      </c>
      <c r="B288" s="11" t="str">
        <f t="shared" si="7"/>
        <v/>
      </c>
      <c r="C288" s="15"/>
      <c r="D288" s="16"/>
      <c r="E288" s="15"/>
      <c r="F288" s="15"/>
      <c r="G288" s="17"/>
    </row>
    <row r="289" spans="1:7" ht="12" customHeight="1">
      <c r="A289" s="5">
        <v>282</v>
      </c>
      <c r="B289" s="11" t="str">
        <f t="shared" si="7"/>
        <v/>
      </c>
      <c r="C289" s="15"/>
      <c r="D289" s="16"/>
      <c r="E289" s="15"/>
      <c r="F289" s="15"/>
      <c r="G289" s="17"/>
    </row>
    <row r="290" spans="1:7" ht="12" customHeight="1">
      <c r="A290" s="5">
        <v>283</v>
      </c>
      <c r="B290" s="11" t="str">
        <f t="shared" si="7"/>
        <v/>
      </c>
      <c r="C290" s="15"/>
      <c r="D290" s="16"/>
      <c r="E290" s="15"/>
      <c r="F290" s="15"/>
      <c r="G290" s="17"/>
    </row>
    <row r="291" spans="1:7" ht="12" customHeight="1">
      <c r="A291" s="5">
        <v>284</v>
      </c>
      <c r="B291" s="11" t="str">
        <f t="shared" si="7"/>
        <v/>
      </c>
      <c r="C291" s="15"/>
      <c r="D291" s="16"/>
      <c r="E291" s="15"/>
      <c r="F291" s="15"/>
      <c r="G291" s="17"/>
    </row>
    <row r="292" spans="1:7" ht="12" customHeight="1">
      <c r="A292" s="5">
        <v>285</v>
      </c>
      <c r="B292" s="11" t="str">
        <f t="shared" si="7"/>
        <v/>
      </c>
      <c r="C292" s="15"/>
      <c r="D292" s="16"/>
      <c r="E292" s="15"/>
      <c r="F292" s="15"/>
      <c r="G292" s="17"/>
    </row>
    <row r="293" spans="1:7" ht="12" customHeight="1">
      <c r="A293" s="5">
        <v>286</v>
      </c>
      <c r="B293" s="11" t="str">
        <f t="shared" si="7"/>
        <v/>
      </c>
      <c r="C293" s="15"/>
      <c r="D293" s="16"/>
      <c r="E293" s="15"/>
      <c r="F293" s="15"/>
      <c r="G293" s="17"/>
    </row>
    <row r="294" spans="1:7" ht="12" customHeight="1">
      <c r="A294" s="5">
        <v>287</v>
      </c>
      <c r="B294" s="11" t="str">
        <f t="shared" si="7"/>
        <v/>
      </c>
      <c r="C294" s="15"/>
      <c r="D294" s="16"/>
      <c r="E294" s="15"/>
      <c r="F294" s="15"/>
      <c r="G294" s="17"/>
    </row>
    <row r="295" spans="1:7" ht="12" customHeight="1">
      <c r="A295" s="5">
        <v>288</v>
      </c>
      <c r="B295" s="11" t="str">
        <f t="shared" si="7"/>
        <v/>
      </c>
      <c r="C295" s="15"/>
      <c r="D295" s="16"/>
      <c r="E295" s="15"/>
      <c r="F295" s="15"/>
      <c r="G295" s="17"/>
    </row>
    <row r="296" spans="1:7" ht="12" customHeight="1">
      <c r="A296" s="5">
        <v>289</v>
      </c>
      <c r="B296" s="11" t="str">
        <f t="shared" si="7"/>
        <v/>
      </c>
      <c r="C296" s="15"/>
      <c r="D296" s="16"/>
      <c r="E296" s="15"/>
      <c r="F296" s="15"/>
      <c r="G296" s="17"/>
    </row>
    <row r="297" spans="1:7" ht="12" customHeight="1">
      <c r="A297" s="5">
        <v>290</v>
      </c>
      <c r="B297" s="11" t="str">
        <f t="shared" si="7"/>
        <v/>
      </c>
      <c r="C297" s="15"/>
      <c r="D297" s="16"/>
      <c r="E297" s="15"/>
      <c r="F297" s="15"/>
      <c r="G297" s="17"/>
    </row>
    <row r="298" spans="1:7" ht="12" customHeight="1">
      <c r="A298" s="5">
        <v>291</v>
      </c>
      <c r="B298" s="11" t="str">
        <f t="shared" si="7"/>
        <v/>
      </c>
      <c r="C298" s="15"/>
      <c r="D298" s="16"/>
      <c r="E298" s="15"/>
      <c r="F298" s="15"/>
      <c r="G298" s="17"/>
    </row>
    <row r="299" spans="1:7" ht="12" customHeight="1">
      <c r="A299" s="5">
        <v>292</v>
      </c>
      <c r="B299" s="11" t="str">
        <f t="shared" si="7"/>
        <v/>
      </c>
      <c r="C299" s="15"/>
      <c r="D299" s="16"/>
      <c r="E299" s="15"/>
      <c r="F299" s="15"/>
      <c r="G299" s="17"/>
    </row>
    <row r="300" spans="1:7" ht="12" customHeight="1">
      <c r="A300" s="5">
        <v>293</v>
      </c>
      <c r="B300" s="11" t="str">
        <f t="shared" si="7"/>
        <v/>
      </c>
      <c r="C300" s="15"/>
      <c r="D300" s="16"/>
      <c r="E300" s="15"/>
      <c r="F300" s="15"/>
      <c r="G300" s="17"/>
    </row>
    <row r="301" spans="1:7" ht="12" customHeight="1">
      <c r="A301" s="5">
        <v>294</v>
      </c>
      <c r="B301" s="11" t="str">
        <f t="shared" si="7"/>
        <v/>
      </c>
      <c r="C301" s="15"/>
      <c r="D301" s="16"/>
      <c r="E301" s="15"/>
      <c r="F301" s="15"/>
      <c r="G301" s="17"/>
    </row>
    <row r="302" spans="1:7" ht="12" customHeight="1">
      <c r="A302" s="5">
        <v>295</v>
      </c>
      <c r="B302" s="11" t="str">
        <f t="shared" si="7"/>
        <v/>
      </c>
      <c r="C302" s="15"/>
      <c r="D302" s="16"/>
      <c r="E302" s="15"/>
      <c r="F302" s="15"/>
      <c r="G302" s="17"/>
    </row>
    <row r="303" spans="1:7" ht="12" customHeight="1">
      <c r="A303" s="5">
        <v>296</v>
      </c>
      <c r="B303" s="11" t="str">
        <f t="shared" si="7"/>
        <v/>
      </c>
      <c r="C303" s="15"/>
      <c r="D303" s="16"/>
      <c r="E303" s="15"/>
      <c r="F303" s="15"/>
      <c r="G303" s="17"/>
    </row>
    <row r="304" spans="1:7" ht="12" customHeight="1">
      <c r="A304" s="5">
        <v>297</v>
      </c>
      <c r="B304" s="11" t="str">
        <f t="shared" si="7"/>
        <v/>
      </c>
      <c r="C304" s="15"/>
      <c r="D304" s="16"/>
      <c r="E304" s="15"/>
      <c r="F304" s="15"/>
      <c r="G304" s="17"/>
    </row>
    <row r="305" spans="1:7" ht="12" customHeight="1">
      <c r="A305" s="5">
        <v>298</v>
      </c>
      <c r="B305" s="11" t="str">
        <f t="shared" si="7"/>
        <v/>
      </c>
      <c r="C305" s="15"/>
      <c r="D305" s="16"/>
      <c r="E305" s="15"/>
      <c r="F305" s="15"/>
      <c r="G305" s="17"/>
    </row>
    <row r="306" spans="1:7" ht="12" customHeight="1">
      <c r="A306" s="5">
        <v>299</v>
      </c>
      <c r="B306" s="11" t="str">
        <f t="shared" si="7"/>
        <v/>
      </c>
      <c r="C306" s="15"/>
      <c r="D306" s="16"/>
      <c r="E306" s="15"/>
      <c r="F306" s="15"/>
      <c r="G306" s="17"/>
    </row>
    <row r="307" spans="1:7" ht="12" customHeight="1">
      <c r="A307" s="5">
        <v>300</v>
      </c>
      <c r="B307" s="11" t="str">
        <f>IF(D307&gt;=$G$6,0,IF(D307="","",(DATEDIF(D307,$G$6,"Y"))))</f>
        <v/>
      </c>
      <c r="C307" s="15"/>
      <c r="D307" s="16"/>
      <c r="E307" s="15"/>
      <c r="F307" s="15"/>
      <c r="G307" s="17"/>
    </row>
  </sheetData>
  <mergeCells count="5">
    <mergeCell ref="Q10:Q12"/>
    <mergeCell ref="F4:G4"/>
    <mergeCell ref="A1:F1"/>
    <mergeCell ref="F3:G3"/>
    <mergeCell ref="A4:C4"/>
  </mergeCells>
  <phoneticPr fontId="1"/>
  <conditionalFormatting sqref="F9:F307">
    <cfRule type="expression" dxfId="16" priority="11">
      <formula>$E9="１号認定"</formula>
    </cfRule>
  </conditionalFormatting>
  <conditionalFormatting sqref="B22:G307 B9:B21 F9:G21">
    <cfRule type="expression" dxfId="15" priority="8">
      <formula>$E9="３号認定"</formula>
    </cfRule>
    <cfRule type="expression" dxfId="14" priority="9">
      <formula>$E9="２号認定"</formula>
    </cfRule>
  </conditionalFormatting>
  <conditionalFormatting sqref="B22:E307 B9:B21">
    <cfRule type="expression" dxfId="13" priority="10">
      <formula>$E9="１号認定"</formula>
    </cfRule>
  </conditionalFormatting>
  <conditionalFormatting sqref="F8">
    <cfRule type="expression" dxfId="12" priority="7">
      <formula>$E8="１号認定"</formula>
    </cfRule>
  </conditionalFormatting>
  <conditionalFormatting sqref="B8 F8:G8">
    <cfRule type="expression" dxfId="11" priority="4">
      <formula>$E8="３号認定"</formula>
    </cfRule>
    <cfRule type="expression" dxfId="10" priority="5">
      <formula>$E8="２号認定"</formula>
    </cfRule>
  </conditionalFormatting>
  <conditionalFormatting sqref="B8">
    <cfRule type="expression" dxfId="9" priority="6">
      <formula>$E8="１号認定"</formula>
    </cfRule>
  </conditionalFormatting>
  <conditionalFormatting sqref="C8:E21">
    <cfRule type="expression" dxfId="8" priority="1">
      <formula>$E8="３号認定"</formula>
    </cfRule>
    <cfRule type="expression" dxfId="7" priority="2">
      <formula>$E8="２号認定"</formula>
    </cfRule>
  </conditionalFormatting>
  <conditionalFormatting sqref="C8:E21">
    <cfRule type="expression" dxfId="6" priority="3">
      <formula>$E8="１号認定"</formula>
    </cfRule>
  </conditionalFormatting>
  <dataValidations count="2">
    <dataValidation type="list" allowBlank="1" showInputMessage="1" showErrorMessage="1" sqref="F8:F307">
      <formula1>"標準時間,短時間"</formula1>
    </dataValidation>
    <dataValidation type="list" allowBlank="1" showInputMessage="1" showErrorMessage="1" sqref="E8:E307">
      <formula1>"１号認定,２号認定,３号認定"</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87"/>
  <sheetViews>
    <sheetView view="pageBreakPreview" zoomScale="115" zoomScaleNormal="100" zoomScaleSheetLayoutView="115" workbookViewId="0">
      <selection activeCell="N58" sqref="N58"/>
    </sheetView>
  </sheetViews>
  <sheetFormatPr defaultRowHeight="18.75"/>
  <cols>
    <col min="1" max="1" width="2.5" customWidth="1"/>
    <col min="2" max="2" width="15.625" customWidth="1"/>
    <col min="3" max="3" width="7" customWidth="1"/>
    <col min="4" max="4" width="15.625" customWidth="1"/>
    <col min="5" max="5" width="13" customWidth="1"/>
    <col min="6" max="7" width="3" customWidth="1"/>
    <col min="8" max="8" width="5.5" customWidth="1"/>
    <col min="9" max="9" width="4.125" customWidth="1"/>
    <col min="10" max="10" width="8.625" customWidth="1"/>
    <col min="11" max="11" width="5.125" customWidth="1"/>
    <col min="12" max="12" width="7.5" customWidth="1"/>
    <col min="13" max="13" width="9.75" bestFit="1" customWidth="1"/>
    <col min="14" max="14" width="10.25" bestFit="1" customWidth="1"/>
    <col min="15" max="15" width="9.75" bestFit="1" customWidth="1"/>
    <col min="16" max="16" width="7.5" style="229" customWidth="1"/>
    <col min="17" max="17" width="1.875" style="229" bestFit="1" customWidth="1"/>
    <col min="18" max="18" width="1.875" style="229" customWidth="1"/>
    <col min="19" max="19" width="9" style="184"/>
    <col min="20" max="20" width="0" hidden="1" customWidth="1"/>
    <col min="21" max="24" width="3" hidden="1" customWidth="1"/>
    <col min="26" max="26" width="9" style="4"/>
    <col min="27" max="27" width="10" customWidth="1"/>
    <col min="28" max="30" width="5.875" customWidth="1"/>
  </cols>
  <sheetData>
    <row r="1" spans="1:27" ht="24">
      <c r="A1" s="311" t="s">
        <v>170</v>
      </c>
      <c r="B1" s="311"/>
      <c r="C1" s="311"/>
      <c r="D1" s="311"/>
      <c r="E1" s="311"/>
      <c r="F1" s="311"/>
      <c r="G1" s="311"/>
      <c r="H1" s="311"/>
      <c r="I1" s="311"/>
      <c r="J1" s="311"/>
      <c r="K1" s="311"/>
      <c r="L1" s="311"/>
      <c r="M1" s="300"/>
      <c r="N1" s="300"/>
      <c r="O1" s="300"/>
      <c r="P1" s="230"/>
      <c r="Q1" s="230"/>
      <c r="R1" s="230"/>
      <c r="S1" s="185"/>
      <c r="T1" s="50"/>
      <c r="U1" s="50"/>
      <c r="V1" s="88"/>
      <c r="W1" s="88"/>
      <c r="X1" s="88"/>
      <c r="Y1" s="50"/>
    </row>
    <row r="2" spans="1:27">
      <c r="M2" s="149"/>
      <c r="N2" s="149"/>
      <c r="O2" s="149"/>
      <c r="P2" s="253"/>
      <c r="Q2" s="253"/>
      <c r="R2" s="253"/>
    </row>
    <row r="3" spans="1:27" ht="19.5" thickBot="1">
      <c r="A3" s="3" t="s">
        <v>38</v>
      </c>
      <c r="N3" t="s">
        <v>244</v>
      </c>
      <c r="P3" s="149">
        <f>改修履歴!A1</f>
        <v>1</v>
      </c>
      <c r="Q3" s="149"/>
      <c r="R3" s="149"/>
      <c r="Z3" s="6"/>
    </row>
    <row r="4" spans="1:27" ht="19.5" thickBot="1">
      <c r="A4" s="313" t="str">
        <f>①基本情報!A7</f>
        <v>記載例認定こども園</v>
      </c>
      <c r="B4" s="314"/>
      <c r="C4" s="314"/>
      <c r="D4" s="315"/>
      <c r="J4" s="166"/>
      <c r="K4" s="166"/>
      <c r="L4" s="166"/>
      <c r="M4" s="166"/>
      <c r="N4" s="309">
        <f>①基本情報!A4</f>
        <v>45383</v>
      </c>
      <c r="O4" s="329"/>
      <c r="P4" s="166"/>
      <c r="Q4" s="166"/>
      <c r="R4" s="166"/>
      <c r="S4" s="87"/>
      <c r="T4" s="87"/>
      <c r="U4" s="87"/>
      <c r="V4" s="87"/>
      <c r="W4" s="87"/>
      <c r="X4" s="87"/>
      <c r="Y4" s="87"/>
    </row>
    <row r="5" spans="1:27" ht="6" customHeight="1">
      <c r="A5" s="69"/>
      <c r="B5" s="69"/>
      <c r="C5" s="69"/>
      <c r="D5" s="69"/>
      <c r="E5" s="165"/>
      <c r="F5" s="165"/>
      <c r="G5" s="165"/>
      <c r="H5" s="165"/>
      <c r="I5" s="166"/>
      <c r="J5" s="166"/>
      <c r="K5" s="166"/>
      <c r="L5" s="166"/>
      <c r="M5" s="166"/>
      <c r="N5" s="166"/>
      <c r="O5" s="166"/>
      <c r="P5" s="166"/>
      <c r="Q5" s="166"/>
      <c r="R5" s="166"/>
      <c r="S5" s="87"/>
      <c r="T5" s="87"/>
      <c r="U5" s="87"/>
      <c r="V5" s="87"/>
      <c r="W5" s="87"/>
      <c r="X5" s="87"/>
      <c r="Y5" s="87"/>
    </row>
    <row r="6" spans="1:27" ht="39.950000000000003" customHeight="1">
      <c r="A6" s="69"/>
      <c r="B6" s="177" t="s">
        <v>260</v>
      </c>
      <c r="C6" s="178">
        <f>$AB$42+$AB$43</f>
        <v>34</v>
      </c>
      <c r="D6" s="317" t="str">
        <f>"(内訳：常勤"&amp;$AB$42&amp;"人、非常勤"&amp;$AB$43&amp;"人）"</f>
        <v>(内訳：常勤24人、非常勤10人）</v>
      </c>
      <c r="E6" s="318"/>
      <c r="F6" s="321" t="s">
        <v>262</v>
      </c>
      <c r="G6" s="322"/>
      <c r="H6" s="322"/>
      <c r="I6" s="322"/>
      <c r="J6" s="179">
        <f>$AE$43</f>
        <v>29.2</v>
      </c>
      <c r="K6" s="166"/>
      <c r="L6" s="166"/>
      <c r="M6" s="166"/>
      <c r="N6" s="166"/>
      <c r="O6" s="166"/>
      <c r="P6" s="166"/>
      <c r="Q6" s="166"/>
      <c r="R6" s="166"/>
      <c r="S6" s="87"/>
      <c r="T6" s="87"/>
      <c r="U6" s="87"/>
      <c r="V6" s="87"/>
      <c r="W6" s="87"/>
      <c r="X6" s="87"/>
      <c r="Y6" s="87"/>
    </row>
    <row r="7" spans="1:27" ht="39.950000000000003" customHeight="1">
      <c r="A7" s="69"/>
      <c r="B7" s="174" t="s">
        <v>261</v>
      </c>
      <c r="C7" s="175">
        <f>$AB$39+$AB$40</f>
        <v>22</v>
      </c>
      <c r="D7" s="319" t="str">
        <f>"(内訳：常勤"&amp;$AB$39&amp;"人、非常勤"&amp;$AB$40&amp;"人）"</f>
        <v>(内訳：常勤17人、非常勤5人）</v>
      </c>
      <c r="E7" s="320"/>
      <c r="F7" s="323" t="s">
        <v>263</v>
      </c>
      <c r="G7" s="324"/>
      <c r="H7" s="324"/>
      <c r="I7" s="324"/>
      <c r="J7" s="176">
        <f>$AE$40</f>
        <v>19.7</v>
      </c>
      <c r="K7" s="166"/>
      <c r="L7" s="166"/>
      <c r="M7" s="166"/>
      <c r="N7" s="166"/>
      <c r="O7" s="166"/>
      <c r="P7" s="166"/>
      <c r="Q7" s="166"/>
      <c r="R7" s="166"/>
      <c r="S7" s="87"/>
      <c r="T7" s="87"/>
      <c r="U7" s="87"/>
      <c r="V7" s="87"/>
      <c r="W7" s="87"/>
      <c r="X7" s="87"/>
      <c r="Y7" s="87"/>
    </row>
    <row r="8" spans="1:27" ht="7.5" customHeight="1" thickBot="1">
      <c r="A8" s="69"/>
      <c r="B8" s="170"/>
      <c r="C8" s="167"/>
      <c r="D8" s="168"/>
      <c r="E8" s="171"/>
      <c r="F8" s="172"/>
      <c r="G8" s="173"/>
      <c r="H8" s="173"/>
      <c r="I8" s="173"/>
      <c r="J8" s="169"/>
      <c r="K8" s="166"/>
      <c r="L8" s="166"/>
      <c r="M8" s="166"/>
      <c r="N8" s="166"/>
      <c r="O8" s="166"/>
      <c r="P8" s="166"/>
      <c r="Q8" s="166"/>
      <c r="R8" s="166"/>
      <c r="S8" s="87"/>
      <c r="T8" s="87"/>
      <c r="U8" s="87"/>
      <c r="V8" s="87"/>
      <c r="W8" s="87"/>
      <c r="X8" s="87"/>
      <c r="Y8" s="87"/>
    </row>
    <row r="9" spans="1:27" ht="12.75" customHeight="1" thickBot="1">
      <c r="B9" s="29"/>
      <c r="O9" s="247"/>
      <c r="Z9" s="195" t="s">
        <v>84</v>
      </c>
      <c r="AA9" s="196">
        <f>①基本情報!A11</f>
        <v>160</v>
      </c>
    </row>
    <row r="10" spans="1:27" ht="13.5" customHeight="1">
      <c r="A10" s="345" t="s">
        <v>11</v>
      </c>
      <c r="B10" s="330" t="s">
        <v>92</v>
      </c>
      <c r="C10" s="341" t="s">
        <v>96</v>
      </c>
      <c r="D10" s="330" t="s">
        <v>97</v>
      </c>
      <c r="E10" s="341" t="s">
        <v>98</v>
      </c>
      <c r="F10" s="341" t="s">
        <v>10</v>
      </c>
      <c r="G10" s="341"/>
      <c r="H10" s="341"/>
      <c r="I10" s="342" t="s">
        <v>13</v>
      </c>
      <c r="J10" s="316" t="s">
        <v>15</v>
      </c>
      <c r="K10" s="316" t="s">
        <v>255</v>
      </c>
      <c r="L10" s="344" t="s">
        <v>14</v>
      </c>
      <c r="M10" s="325" t="s">
        <v>303</v>
      </c>
      <c r="N10" s="326"/>
      <c r="O10" s="326"/>
      <c r="P10" s="230"/>
      <c r="Q10" s="230"/>
      <c r="R10" s="230"/>
      <c r="S10" s="190"/>
      <c r="T10" s="190"/>
      <c r="U10" s="190"/>
      <c r="V10" s="190"/>
      <c r="W10" s="190"/>
      <c r="X10" s="190"/>
      <c r="Y10" s="190"/>
    </row>
    <row r="11" spans="1:27" ht="24.75" thickBot="1">
      <c r="A11" s="316"/>
      <c r="B11" s="331"/>
      <c r="C11" s="341"/>
      <c r="D11" s="331"/>
      <c r="E11" s="341"/>
      <c r="F11" s="53" t="s">
        <v>90</v>
      </c>
      <c r="G11" s="53" t="s">
        <v>91</v>
      </c>
      <c r="H11" s="188" t="s">
        <v>302</v>
      </c>
      <c r="I11" s="343"/>
      <c r="J11" s="316"/>
      <c r="K11" s="316"/>
      <c r="L11" s="344"/>
      <c r="M11" s="246" t="s">
        <v>304</v>
      </c>
      <c r="N11" s="53" t="s">
        <v>305</v>
      </c>
      <c r="O11" s="53" t="s">
        <v>306</v>
      </c>
      <c r="P11" s="254"/>
      <c r="Q11" s="254"/>
      <c r="R11" s="254"/>
      <c r="S11" s="190"/>
      <c r="T11" s="190"/>
      <c r="U11" s="190"/>
      <c r="V11" s="190"/>
      <c r="W11" s="190"/>
      <c r="X11" s="190"/>
      <c r="Y11" s="190"/>
    </row>
    <row r="12" spans="1:27" ht="23.25" customHeight="1" thickBot="1">
      <c r="A12" s="335" t="s">
        <v>39</v>
      </c>
      <c r="B12" s="71" t="s">
        <v>104</v>
      </c>
      <c r="C12" s="64"/>
      <c r="D12" s="71" t="s">
        <v>12</v>
      </c>
      <c r="E12" s="54" t="s">
        <v>333</v>
      </c>
      <c r="F12" s="55" t="s">
        <v>82</v>
      </c>
      <c r="G12" s="55" t="s">
        <v>82</v>
      </c>
      <c r="H12" s="57"/>
      <c r="I12" s="58">
        <v>160</v>
      </c>
      <c r="J12" s="265" t="str">
        <f>IF(I12="","",IF(I12&lt;$AA$9,"非常勤","常勤"))</f>
        <v>常勤</v>
      </c>
      <c r="K12" s="56"/>
      <c r="L12" s="245"/>
      <c r="M12" s="248" t="s">
        <v>345</v>
      </c>
      <c r="N12" s="233"/>
      <c r="O12" s="256"/>
      <c r="P12" s="255" t="str">
        <f>IF(M12="あり",IF((I12+O12)&lt;=$AA$9,"OK","NG"),"")</f>
        <v/>
      </c>
      <c r="Q12" s="259">
        <f>COUNTA(F12:H12)</f>
        <v>2</v>
      </c>
      <c r="R12" s="259">
        <f>IF(E12="",0,1)</f>
        <v>1</v>
      </c>
      <c r="S12" s="192"/>
      <c r="T12" s="191"/>
      <c r="U12" s="190"/>
      <c r="V12" s="190"/>
      <c r="W12" s="192"/>
      <c r="X12" s="192"/>
      <c r="Y12" s="191"/>
    </row>
    <row r="13" spans="1:27" ht="19.5" hidden="1" customHeight="1" thickBot="1">
      <c r="A13" s="336"/>
      <c r="B13" s="71"/>
      <c r="C13" s="64"/>
      <c r="D13" s="65"/>
      <c r="E13" s="54"/>
      <c r="F13" s="55"/>
      <c r="G13" s="55"/>
      <c r="H13" s="57"/>
      <c r="I13" s="58"/>
      <c r="J13" s="59"/>
      <c r="K13" s="56"/>
      <c r="L13" s="245"/>
      <c r="M13" s="248"/>
      <c r="N13" s="233"/>
      <c r="O13" s="256"/>
      <c r="P13" s="255" t="str">
        <f t="shared" ref="P13:P76" si="0">IF(M13="あり",IF((I13+O13)&lt;=$AA$9,"OK","NG"),"")</f>
        <v/>
      </c>
      <c r="Q13" s="259">
        <f t="shared" ref="Q13:Q76" si="1">COUNTA(F13:H13)</f>
        <v>0</v>
      </c>
      <c r="R13" s="259">
        <f t="shared" ref="R13:R76" si="2">IF(E13="",0,1)</f>
        <v>0</v>
      </c>
      <c r="S13" s="192"/>
      <c r="T13" s="191"/>
      <c r="U13" s="190"/>
      <c r="V13" s="190"/>
      <c r="W13" s="192"/>
      <c r="X13" s="192"/>
      <c r="Y13" s="191"/>
    </row>
    <row r="14" spans="1:27" ht="24.95" customHeight="1" thickBot="1">
      <c r="A14" s="336"/>
      <c r="B14" s="66" t="str">
        <f>IF((①基本情報!M2*①基本情報!M3)&gt;=1,"主幹専任化代替(１号)","【主幹専任化不可（実施事業数不足）】")</f>
        <v>主幹専任化代替(１号)</v>
      </c>
      <c r="C14" s="54" t="s">
        <v>93</v>
      </c>
      <c r="D14" s="65" t="s">
        <v>326</v>
      </c>
      <c r="E14" s="54" t="s">
        <v>334</v>
      </c>
      <c r="F14" s="55" t="s">
        <v>82</v>
      </c>
      <c r="G14" s="55" t="s">
        <v>82</v>
      </c>
      <c r="H14" s="57"/>
      <c r="I14" s="56">
        <v>80</v>
      </c>
      <c r="J14" s="60" t="str">
        <f>IF(I14="","",IF(I14&lt;$AA$9,"非常勤","常勤"))</f>
        <v>非常勤</v>
      </c>
      <c r="K14" s="56"/>
      <c r="L14" s="245"/>
      <c r="M14" s="248" t="s">
        <v>345</v>
      </c>
      <c r="N14" s="233"/>
      <c r="O14" s="256"/>
      <c r="P14" s="255" t="str">
        <f t="shared" si="0"/>
        <v/>
      </c>
      <c r="Q14" s="259">
        <f t="shared" si="1"/>
        <v>2</v>
      </c>
      <c r="R14" s="259">
        <f t="shared" si="2"/>
        <v>1</v>
      </c>
      <c r="S14" s="192"/>
      <c r="T14" s="191"/>
      <c r="U14" s="190"/>
      <c r="V14" s="190"/>
      <c r="W14" s="192"/>
      <c r="X14" s="192"/>
      <c r="Y14" s="191"/>
      <c r="Z14" s="6"/>
      <c r="AA14" s="6"/>
    </row>
    <row r="15" spans="1:27" ht="24.95" customHeight="1" thickBot="1">
      <c r="A15" s="336"/>
      <c r="B15" s="107" t="str">
        <f>IF((①基本情報!M2*①基本情報!M3)&gt;=1,"主幹専任化代替(２・３号)","【主幹専任化不可（実施事業数不足）】")</f>
        <v>主幹専任化代替(２・３号)</v>
      </c>
      <c r="C15" s="54" t="s">
        <v>93</v>
      </c>
      <c r="D15" s="65" t="s">
        <v>327</v>
      </c>
      <c r="E15" s="54" t="s">
        <v>335</v>
      </c>
      <c r="F15" s="55" t="s">
        <v>82</v>
      </c>
      <c r="G15" s="55" t="s">
        <v>82</v>
      </c>
      <c r="H15" s="54"/>
      <c r="I15" s="58">
        <v>160</v>
      </c>
      <c r="J15" s="59" t="str">
        <f>IF(I15="","",IF(I15&lt;$AA$9,"!NG!","常勤"))</f>
        <v>常勤</v>
      </c>
      <c r="K15" s="56"/>
      <c r="L15" s="245"/>
      <c r="M15" s="248" t="s">
        <v>345</v>
      </c>
      <c r="N15" s="233"/>
      <c r="O15" s="256"/>
      <c r="P15" s="255" t="str">
        <f t="shared" si="0"/>
        <v/>
      </c>
      <c r="Q15" s="259">
        <f t="shared" si="1"/>
        <v>2</v>
      </c>
      <c r="R15" s="259">
        <f t="shared" si="2"/>
        <v>1</v>
      </c>
      <c r="S15" s="192"/>
      <c r="T15" s="191"/>
      <c r="U15" s="190"/>
      <c r="V15" s="190"/>
      <c r="W15" s="192"/>
      <c r="X15" s="192"/>
      <c r="Y15" s="191"/>
    </row>
    <row r="16" spans="1:27" ht="24.95" customHeight="1" thickBot="1">
      <c r="A16" s="336"/>
      <c r="B16" s="60" t="s">
        <v>26</v>
      </c>
      <c r="C16" s="54" t="s">
        <v>94</v>
      </c>
      <c r="D16" s="162" t="s">
        <v>328</v>
      </c>
      <c r="E16" s="54" t="s">
        <v>336</v>
      </c>
      <c r="F16" s="61"/>
      <c r="G16" s="55"/>
      <c r="H16" s="54"/>
      <c r="I16" s="54">
        <v>80</v>
      </c>
      <c r="J16" s="60" t="str">
        <f>IF(I16="","",IF(I16&lt;$AA$9,"非常勤","常勤"))</f>
        <v>非常勤</v>
      </c>
      <c r="K16" s="56"/>
      <c r="L16" s="274" t="s">
        <v>344</v>
      </c>
      <c r="M16" s="248" t="s">
        <v>346</v>
      </c>
      <c r="N16" s="233" t="s">
        <v>347</v>
      </c>
      <c r="O16" s="256">
        <v>50</v>
      </c>
      <c r="P16" s="255" t="str">
        <f t="shared" si="0"/>
        <v>OK</v>
      </c>
      <c r="Q16" s="259">
        <f t="shared" si="1"/>
        <v>0</v>
      </c>
      <c r="R16" s="259">
        <f t="shared" si="2"/>
        <v>1</v>
      </c>
      <c r="S16" s="192">
        <f>I16/AA9</f>
        <v>0.5</v>
      </c>
      <c r="T16" s="191"/>
      <c r="U16" s="190"/>
      <c r="V16" s="190"/>
      <c r="W16" s="192"/>
      <c r="X16" s="192"/>
      <c r="Y16" s="191"/>
      <c r="Z16" s="6"/>
    </row>
    <row r="17" spans="1:26" ht="24.95" customHeight="1" thickBot="1">
      <c r="A17" s="336"/>
      <c r="B17" s="60" t="str">
        <f>IF(①基本情報!H18&lt;36,"講師配置加算",IF(①基本情報!H18&gt;120,"講師配置加算","【適用不可】講師配置加算"))</f>
        <v>講師配置加算</v>
      </c>
      <c r="C17" s="54" t="s">
        <v>93</v>
      </c>
      <c r="D17" s="162" t="s">
        <v>328</v>
      </c>
      <c r="E17" s="54" t="s">
        <v>337</v>
      </c>
      <c r="F17" s="62" t="s">
        <v>16</v>
      </c>
      <c r="G17" s="63"/>
      <c r="H17" s="54"/>
      <c r="I17" s="54">
        <v>40</v>
      </c>
      <c r="J17" s="60" t="str">
        <f>IF(I17="","",IF(I17&lt;$AA$9,"非常勤","常勤"))</f>
        <v>非常勤</v>
      </c>
      <c r="K17" s="56"/>
      <c r="L17" s="245"/>
      <c r="M17" s="248" t="s">
        <v>345</v>
      </c>
      <c r="N17" s="233"/>
      <c r="O17" s="256"/>
      <c r="P17" s="255" t="str">
        <f t="shared" si="0"/>
        <v/>
      </c>
      <c r="Q17" s="259">
        <f t="shared" si="1"/>
        <v>1</v>
      </c>
      <c r="R17" s="259">
        <f t="shared" si="2"/>
        <v>1</v>
      </c>
      <c r="S17" s="192">
        <f>I17/AA9</f>
        <v>0.25</v>
      </c>
      <c r="T17" s="191"/>
      <c r="U17" s="190"/>
      <c r="V17" s="190"/>
      <c r="W17" s="192"/>
      <c r="X17" s="192"/>
      <c r="Y17" s="191"/>
      <c r="Z17" s="6"/>
    </row>
    <row r="18" spans="1:26" ht="24.95" customHeight="1">
      <c r="A18" s="336"/>
      <c r="B18" s="60" t="s">
        <v>182</v>
      </c>
      <c r="C18" s="54" t="s">
        <v>264</v>
      </c>
      <c r="D18" s="65" t="s">
        <v>329</v>
      </c>
      <c r="E18" s="54" t="s">
        <v>338</v>
      </c>
      <c r="F18" s="55"/>
      <c r="G18" s="55"/>
      <c r="H18" s="54"/>
      <c r="I18" s="54">
        <v>160</v>
      </c>
      <c r="J18" s="60" t="str">
        <f>IF($C$18="園長兼務","",IF(I18="","",IF(I18&lt;$AA$9,"非常勤","常勤")))</f>
        <v>常勤</v>
      </c>
      <c r="K18" s="56"/>
      <c r="L18" s="245"/>
      <c r="M18" s="248" t="s">
        <v>345</v>
      </c>
      <c r="N18" s="233"/>
      <c r="O18" s="256"/>
      <c r="P18" s="255" t="str">
        <f t="shared" si="0"/>
        <v/>
      </c>
      <c r="Q18" s="259">
        <f t="shared" si="1"/>
        <v>0</v>
      </c>
      <c r="R18" s="259">
        <f t="shared" si="2"/>
        <v>1</v>
      </c>
      <c r="S18" s="192"/>
      <c r="T18" s="191"/>
      <c r="U18" s="190"/>
      <c r="V18" s="190"/>
      <c r="W18" s="192"/>
      <c r="X18" s="192"/>
      <c r="Y18" s="191"/>
    </row>
    <row r="19" spans="1:26" ht="24.95" customHeight="1">
      <c r="A19" s="336"/>
      <c r="B19" s="60" t="s">
        <v>182</v>
      </c>
      <c r="C19" s="125" t="s">
        <v>83</v>
      </c>
      <c r="D19" s="65" t="s">
        <v>330</v>
      </c>
      <c r="E19" s="54" t="s">
        <v>339</v>
      </c>
      <c r="F19" s="55"/>
      <c r="G19" s="55"/>
      <c r="H19" s="54"/>
      <c r="I19" s="54">
        <v>120</v>
      </c>
      <c r="J19" s="60" t="str">
        <f>IF(I19="","",IF(I19&lt;$AA$9,"非常勤","常勤"))</f>
        <v>非常勤</v>
      </c>
      <c r="K19" s="56"/>
      <c r="L19" s="245"/>
      <c r="M19" s="248" t="s">
        <v>345</v>
      </c>
      <c r="N19" s="233"/>
      <c r="O19" s="256"/>
      <c r="P19" s="255" t="str">
        <f t="shared" si="0"/>
        <v/>
      </c>
      <c r="Q19" s="259">
        <f t="shared" si="1"/>
        <v>0</v>
      </c>
      <c r="R19" s="259">
        <f t="shared" si="2"/>
        <v>1</v>
      </c>
      <c r="S19" s="192"/>
      <c r="T19" s="191"/>
      <c r="U19" s="190"/>
      <c r="V19" s="190"/>
      <c r="W19" s="192"/>
      <c r="X19" s="192"/>
      <c r="Y19" s="191"/>
      <c r="Z19" s="6"/>
    </row>
    <row r="20" spans="1:26" ht="24.95" customHeight="1">
      <c r="A20" s="336"/>
      <c r="B20" s="64"/>
      <c r="C20" s="54" t="s">
        <v>85</v>
      </c>
      <c r="D20" s="65" t="s">
        <v>331</v>
      </c>
      <c r="E20" s="54" t="s">
        <v>340</v>
      </c>
      <c r="F20" s="55"/>
      <c r="G20" s="55"/>
      <c r="H20" s="54"/>
      <c r="I20" s="54">
        <v>160</v>
      </c>
      <c r="J20" s="60" t="str">
        <f>IF(I20="","",IF(I20&lt;$AA$9,"非常勤","常勤"))</f>
        <v>常勤</v>
      </c>
      <c r="K20" s="56"/>
      <c r="L20" s="245"/>
      <c r="M20" s="248" t="s">
        <v>345</v>
      </c>
      <c r="N20" s="233"/>
      <c r="O20" s="256"/>
      <c r="P20" s="255" t="str">
        <f t="shared" si="0"/>
        <v/>
      </c>
      <c r="Q20" s="259">
        <f t="shared" si="1"/>
        <v>0</v>
      </c>
      <c r="R20" s="259">
        <f t="shared" si="2"/>
        <v>1</v>
      </c>
      <c r="S20" s="192"/>
      <c r="T20" s="191"/>
      <c r="U20" s="190"/>
      <c r="V20" s="190"/>
      <c r="W20" s="192"/>
      <c r="X20" s="192"/>
      <c r="Y20" s="191"/>
    </row>
    <row r="21" spans="1:26" ht="24.95" customHeight="1">
      <c r="A21" s="336"/>
      <c r="B21" s="64"/>
      <c r="C21" s="54" t="s">
        <v>86</v>
      </c>
      <c r="D21" s="65" t="s">
        <v>331</v>
      </c>
      <c r="E21" s="54" t="s">
        <v>341</v>
      </c>
      <c r="F21" s="55"/>
      <c r="G21" s="55"/>
      <c r="H21" s="54"/>
      <c r="I21" s="54">
        <v>160</v>
      </c>
      <c r="J21" s="60" t="str">
        <f>IF(I21="","",IF(I21&lt;$AA$9,"非常勤","常勤"))</f>
        <v>常勤</v>
      </c>
      <c r="K21" s="56"/>
      <c r="L21" s="245"/>
      <c r="M21" s="248" t="s">
        <v>345</v>
      </c>
      <c r="N21" s="233"/>
      <c r="O21" s="256"/>
      <c r="P21" s="255" t="str">
        <f t="shared" si="0"/>
        <v/>
      </c>
      <c r="Q21" s="259">
        <f t="shared" si="1"/>
        <v>0</v>
      </c>
      <c r="R21" s="259">
        <f t="shared" si="2"/>
        <v>1</v>
      </c>
      <c r="S21" s="192"/>
      <c r="T21" s="191"/>
      <c r="U21" s="190"/>
      <c r="V21" s="190"/>
      <c r="W21" s="192"/>
      <c r="X21" s="192"/>
      <c r="Y21" s="191"/>
    </row>
    <row r="22" spans="1:26" ht="24.95" customHeight="1">
      <c r="A22" s="336"/>
      <c r="B22" s="64"/>
      <c r="C22" s="54" t="s">
        <v>86</v>
      </c>
      <c r="D22" s="65" t="s">
        <v>331</v>
      </c>
      <c r="E22" s="54" t="s">
        <v>342</v>
      </c>
      <c r="F22" s="55"/>
      <c r="G22" s="55"/>
      <c r="H22" s="54"/>
      <c r="I22" s="54">
        <v>160</v>
      </c>
      <c r="J22" s="60" t="str">
        <f>IF(I22="","",IF(I22&lt;$AA$9,"非常勤","常勤"))</f>
        <v>常勤</v>
      </c>
      <c r="K22" s="56"/>
      <c r="L22" s="245"/>
      <c r="M22" s="248" t="s">
        <v>345</v>
      </c>
      <c r="N22" s="233"/>
      <c r="O22" s="256"/>
      <c r="P22" s="255" t="str">
        <f t="shared" si="0"/>
        <v/>
      </c>
      <c r="Q22" s="259">
        <f t="shared" si="1"/>
        <v>0</v>
      </c>
      <c r="R22" s="259">
        <f t="shared" si="2"/>
        <v>1</v>
      </c>
      <c r="S22" s="192"/>
      <c r="T22" s="191"/>
      <c r="U22" s="190"/>
      <c r="V22" s="190"/>
      <c r="W22" s="192"/>
      <c r="X22" s="192"/>
      <c r="Y22" s="191"/>
    </row>
    <row r="23" spans="1:26" ht="24.95" customHeight="1">
      <c r="A23" s="336"/>
      <c r="B23" s="64"/>
      <c r="C23" s="54" t="s">
        <v>87</v>
      </c>
      <c r="D23" s="57" t="s">
        <v>332</v>
      </c>
      <c r="E23" s="54" t="s">
        <v>343</v>
      </c>
      <c r="F23" s="55"/>
      <c r="G23" s="55"/>
      <c r="H23" s="54"/>
      <c r="I23" s="54">
        <v>80</v>
      </c>
      <c r="J23" s="60" t="str">
        <f>IF(I23="","",IF(I23&lt;$AA$9,"非常勤","常勤"))</f>
        <v>非常勤</v>
      </c>
      <c r="K23" s="56"/>
      <c r="L23" s="245"/>
      <c r="M23" s="248" t="s">
        <v>345</v>
      </c>
      <c r="N23" s="233"/>
      <c r="O23" s="256"/>
      <c r="P23" s="255" t="str">
        <f t="shared" si="0"/>
        <v/>
      </c>
      <c r="Q23" s="259">
        <f t="shared" si="1"/>
        <v>0</v>
      </c>
      <c r="R23" s="259">
        <f t="shared" si="2"/>
        <v>1</v>
      </c>
      <c r="S23" s="192"/>
      <c r="T23" s="191"/>
      <c r="U23" s="190"/>
      <c r="V23" s="190"/>
      <c r="W23" s="192"/>
      <c r="X23" s="192"/>
      <c r="Y23" s="191"/>
    </row>
    <row r="24" spans="1:26" ht="24.95" customHeight="1">
      <c r="A24" s="336"/>
      <c r="B24" s="64"/>
      <c r="C24" s="54"/>
      <c r="D24" s="57"/>
      <c r="E24" s="54"/>
      <c r="F24" s="55"/>
      <c r="G24" s="55"/>
      <c r="H24" s="54"/>
      <c r="I24" s="54"/>
      <c r="J24" s="60" t="str">
        <f t="shared" ref="J24:J27" si="3">IF(I24="","",IF(I24&lt;$AA$9,"非常勤","常勤"))</f>
        <v/>
      </c>
      <c r="K24" s="56"/>
      <c r="L24" s="245"/>
      <c r="M24" s="248"/>
      <c r="N24" s="233"/>
      <c r="O24" s="256"/>
      <c r="P24" s="255" t="str">
        <f t="shared" si="0"/>
        <v/>
      </c>
      <c r="Q24" s="259">
        <f t="shared" si="1"/>
        <v>0</v>
      </c>
      <c r="R24" s="259">
        <f t="shared" si="2"/>
        <v>0</v>
      </c>
      <c r="S24" s="192"/>
      <c r="T24" s="191"/>
      <c r="U24" s="190"/>
      <c r="V24" s="190"/>
      <c r="W24" s="192"/>
      <c r="X24" s="192"/>
      <c r="Y24" s="191"/>
    </row>
    <row r="25" spans="1:26" ht="24.95" customHeight="1">
      <c r="A25" s="336"/>
      <c r="B25" s="64"/>
      <c r="C25" s="54"/>
      <c r="D25" s="57"/>
      <c r="E25" s="54"/>
      <c r="F25" s="55"/>
      <c r="G25" s="55"/>
      <c r="H25" s="54"/>
      <c r="I25" s="54"/>
      <c r="J25" s="60" t="str">
        <f t="shared" si="3"/>
        <v/>
      </c>
      <c r="K25" s="56"/>
      <c r="L25" s="245"/>
      <c r="M25" s="248"/>
      <c r="N25" s="233"/>
      <c r="O25" s="256"/>
      <c r="P25" s="255" t="str">
        <f t="shared" si="0"/>
        <v/>
      </c>
      <c r="Q25" s="259">
        <f t="shared" si="1"/>
        <v>0</v>
      </c>
      <c r="R25" s="259">
        <f t="shared" si="2"/>
        <v>0</v>
      </c>
      <c r="S25" s="192"/>
      <c r="T25" s="191"/>
      <c r="U25" s="190"/>
      <c r="V25" s="190"/>
      <c r="W25" s="192"/>
      <c r="X25" s="192"/>
      <c r="Y25" s="191"/>
    </row>
    <row r="26" spans="1:26" ht="24.95" customHeight="1">
      <c r="A26" s="336"/>
      <c r="B26" s="64"/>
      <c r="C26" s="54"/>
      <c r="D26" s="57"/>
      <c r="E26" s="54"/>
      <c r="F26" s="55"/>
      <c r="G26" s="55"/>
      <c r="H26" s="54"/>
      <c r="I26" s="54"/>
      <c r="J26" s="60" t="str">
        <f t="shared" si="3"/>
        <v/>
      </c>
      <c r="K26" s="56"/>
      <c r="L26" s="245"/>
      <c r="M26" s="248"/>
      <c r="N26" s="233"/>
      <c r="O26" s="256"/>
      <c r="P26" s="255" t="str">
        <f t="shared" si="0"/>
        <v/>
      </c>
      <c r="Q26" s="259">
        <f t="shared" si="1"/>
        <v>0</v>
      </c>
      <c r="R26" s="259">
        <f t="shared" si="2"/>
        <v>0</v>
      </c>
      <c r="S26" s="192"/>
      <c r="T26" s="191"/>
      <c r="U26" s="190"/>
      <c r="V26" s="190"/>
      <c r="W26" s="192"/>
      <c r="X26" s="192"/>
      <c r="Y26" s="191"/>
    </row>
    <row r="27" spans="1:26" ht="24.95" customHeight="1">
      <c r="A27" s="337"/>
      <c r="B27" s="64"/>
      <c r="C27" s="54"/>
      <c r="D27" s="54"/>
      <c r="E27" s="54"/>
      <c r="F27" s="55"/>
      <c r="G27" s="55"/>
      <c r="H27" s="54"/>
      <c r="I27" s="54"/>
      <c r="J27" s="60" t="str">
        <f t="shared" si="3"/>
        <v/>
      </c>
      <c r="K27" s="56"/>
      <c r="L27" s="245"/>
      <c r="M27" s="248"/>
      <c r="N27" s="233"/>
      <c r="O27" s="256"/>
      <c r="P27" s="255" t="str">
        <f t="shared" si="0"/>
        <v/>
      </c>
      <c r="Q27" s="259">
        <f t="shared" si="1"/>
        <v>0</v>
      </c>
      <c r="R27" s="259">
        <f t="shared" si="2"/>
        <v>0</v>
      </c>
      <c r="S27" s="192"/>
      <c r="T27" s="191"/>
      <c r="U27" s="190"/>
      <c r="V27" s="190"/>
      <c r="W27" s="192"/>
      <c r="X27" s="192"/>
      <c r="Y27" s="191"/>
    </row>
    <row r="28" spans="1:26" s="115" customFormat="1" ht="6" customHeight="1">
      <c r="A28" s="111"/>
      <c r="B28" s="112"/>
      <c r="C28" s="112"/>
      <c r="D28" s="112"/>
      <c r="E28" s="112"/>
      <c r="F28" s="113"/>
      <c r="G28" s="112"/>
      <c r="H28" s="112"/>
      <c r="I28" s="112"/>
      <c r="J28" s="112"/>
      <c r="K28" s="112"/>
      <c r="L28" s="114"/>
      <c r="M28" s="232"/>
      <c r="N28" s="232"/>
      <c r="O28" s="257"/>
      <c r="P28" s="255" t="str">
        <f t="shared" si="0"/>
        <v/>
      </c>
      <c r="Q28" s="259">
        <f t="shared" si="1"/>
        <v>0</v>
      </c>
      <c r="R28" s="259">
        <f t="shared" si="2"/>
        <v>0</v>
      </c>
      <c r="S28" s="194"/>
      <c r="T28" s="193"/>
      <c r="U28" s="193"/>
      <c r="V28" s="193"/>
      <c r="W28" s="193"/>
      <c r="X28" s="193"/>
      <c r="Y28" s="193"/>
      <c r="Z28" s="95"/>
    </row>
    <row r="29" spans="1:26" ht="24.95" customHeight="1">
      <c r="A29" s="332" t="s">
        <v>142</v>
      </c>
      <c r="B29" s="338" t="s">
        <v>238</v>
      </c>
      <c r="C29" s="54" t="s">
        <v>93</v>
      </c>
      <c r="D29" s="275" t="s">
        <v>348</v>
      </c>
      <c r="E29" s="54" t="s">
        <v>349</v>
      </c>
      <c r="F29" s="55" t="s">
        <v>82</v>
      </c>
      <c r="G29" s="55" t="s">
        <v>82</v>
      </c>
      <c r="H29" s="54"/>
      <c r="I29" s="54">
        <v>160</v>
      </c>
      <c r="J29" s="60" t="str">
        <f t="shared" ref="J29:J33" si="4">IF(I29="","",IF(I29&lt;$AA$9,"非常勤","常勤"))</f>
        <v>常勤</v>
      </c>
      <c r="K29" s="56"/>
      <c r="L29" s="245"/>
      <c r="M29" s="248"/>
      <c r="N29" s="233"/>
      <c r="O29" s="256"/>
      <c r="P29" s="255" t="str">
        <f t="shared" si="0"/>
        <v/>
      </c>
      <c r="Q29" s="259">
        <f t="shared" si="1"/>
        <v>2</v>
      </c>
      <c r="R29" s="259">
        <f t="shared" si="2"/>
        <v>1</v>
      </c>
      <c r="S29" s="192"/>
      <c r="T29" s="191"/>
      <c r="U29" s="192"/>
      <c r="V29" s="192"/>
      <c r="W29" s="192"/>
      <c r="X29" s="192"/>
      <c r="Y29" s="191"/>
    </row>
    <row r="30" spans="1:26" ht="24.95" customHeight="1">
      <c r="A30" s="333"/>
      <c r="B30" s="339"/>
      <c r="C30" s="54"/>
      <c r="D30" s="54"/>
      <c r="E30" s="54"/>
      <c r="F30" s="55"/>
      <c r="G30" s="55"/>
      <c r="H30" s="54"/>
      <c r="I30" s="54"/>
      <c r="J30" s="60" t="str">
        <f t="shared" si="4"/>
        <v/>
      </c>
      <c r="K30" s="56"/>
      <c r="L30" s="245"/>
      <c r="M30" s="248"/>
      <c r="N30" s="233"/>
      <c r="O30" s="256"/>
      <c r="P30" s="255" t="str">
        <f t="shared" si="0"/>
        <v/>
      </c>
      <c r="Q30" s="259">
        <f t="shared" si="1"/>
        <v>0</v>
      </c>
      <c r="R30" s="259">
        <f t="shared" si="2"/>
        <v>0</v>
      </c>
      <c r="S30" s="192"/>
      <c r="T30" s="191"/>
      <c r="U30" s="192"/>
      <c r="V30" s="192"/>
      <c r="W30" s="192"/>
      <c r="X30" s="192"/>
      <c r="Y30" s="191"/>
    </row>
    <row r="31" spans="1:26" ht="24.95" customHeight="1">
      <c r="A31" s="333"/>
      <c r="B31" s="339"/>
      <c r="C31" s="54"/>
      <c r="D31" s="54"/>
      <c r="E31" s="54"/>
      <c r="F31" s="55"/>
      <c r="G31" s="55"/>
      <c r="H31" s="54"/>
      <c r="I31" s="54"/>
      <c r="J31" s="60" t="str">
        <f t="shared" si="4"/>
        <v/>
      </c>
      <c r="K31" s="56"/>
      <c r="L31" s="245"/>
      <c r="M31" s="248"/>
      <c r="N31" s="252"/>
      <c r="O31" s="258"/>
      <c r="P31" s="255" t="str">
        <f t="shared" si="0"/>
        <v/>
      </c>
      <c r="Q31" s="259">
        <f t="shared" si="1"/>
        <v>0</v>
      </c>
      <c r="R31" s="259">
        <f t="shared" si="2"/>
        <v>0</v>
      </c>
      <c r="S31" s="192"/>
      <c r="T31" s="191"/>
      <c r="U31" s="192"/>
      <c r="V31" s="192"/>
      <c r="W31" s="192"/>
      <c r="X31" s="192"/>
      <c r="Y31" s="191"/>
    </row>
    <row r="32" spans="1:26" ht="24.95" customHeight="1">
      <c r="A32" s="333"/>
      <c r="B32" s="339"/>
      <c r="C32" s="54"/>
      <c r="D32" s="54"/>
      <c r="E32" s="54"/>
      <c r="F32" s="55"/>
      <c r="G32" s="55"/>
      <c r="H32" s="54"/>
      <c r="I32" s="54"/>
      <c r="J32" s="60" t="str">
        <f t="shared" si="4"/>
        <v/>
      </c>
      <c r="K32" s="56"/>
      <c r="L32" s="245"/>
      <c r="M32" s="250"/>
      <c r="N32" s="233"/>
      <c r="O32" s="256"/>
      <c r="P32" s="255" t="str">
        <f t="shared" si="0"/>
        <v/>
      </c>
      <c r="Q32" s="259">
        <f t="shared" si="1"/>
        <v>0</v>
      </c>
      <c r="R32" s="259">
        <f t="shared" si="2"/>
        <v>0</v>
      </c>
      <c r="S32" s="192"/>
      <c r="T32" s="191"/>
      <c r="U32" s="192"/>
      <c r="V32" s="192"/>
      <c r="W32" s="192"/>
      <c r="X32" s="192"/>
      <c r="Y32" s="191"/>
    </row>
    <row r="33" spans="1:32" ht="24.95" customHeight="1">
      <c r="A33" s="334"/>
      <c r="B33" s="340"/>
      <c r="C33" s="54"/>
      <c r="D33" s="54"/>
      <c r="E33" s="54"/>
      <c r="F33" s="55"/>
      <c r="G33" s="55"/>
      <c r="H33" s="54"/>
      <c r="I33" s="54"/>
      <c r="J33" s="60" t="str">
        <f t="shared" si="4"/>
        <v/>
      </c>
      <c r="K33" s="56"/>
      <c r="L33" s="189"/>
      <c r="M33" s="251"/>
      <c r="N33" s="233"/>
      <c r="O33" s="256"/>
      <c r="P33" s="255" t="str">
        <f t="shared" si="0"/>
        <v/>
      </c>
      <c r="Q33" s="259">
        <f t="shared" si="1"/>
        <v>0</v>
      </c>
      <c r="R33" s="259">
        <f t="shared" si="2"/>
        <v>0</v>
      </c>
      <c r="S33" s="192"/>
      <c r="T33" s="191"/>
      <c r="U33" s="192"/>
      <c r="V33" s="192" t="s">
        <v>139</v>
      </c>
      <c r="W33" s="192"/>
      <c r="X33" s="192" t="s">
        <v>140</v>
      </c>
      <c r="Y33" s="191"/>
    </row>
    <row r="34" spans="1:32" s="115" customFormat="1" ht="6" customHeight="1">
      <c r="A34" s="111"/>
      <c r="B34" s="112"/>
      <c r="C34" s="112"/>
      <c r="D34" s="112"/>
      <c r="E34" s="112"/>
      <c r="F34" s="113"/>
      <c r="G34" s="112"/>
      <c r="H34" s="112"/>
      <c r="I34" s="112"/>
      <c r="J34" s="112"/>
      <c r="K34" s="112"/>
      <c r="L34" s="114"/>
      <c r="M34" s="232"/>
      <c r="N34" s="232"/>
      <c r="O34" s="257"/>
      <c r="P34" s="255" t="str">
        <f t="shared" si="0"/>
        <v/>
      </c>
      <c r="Q34" s="259">
        <f t="shared" si="1"/>
        <v>0</v>
      </c>
      <c r="R34" s="259">
        <f t="shared" si="2"/>
        <v>0</v>
      </c>
      <c r="S34" s="194"/>
      <c r="T34" s="193"/>
      <c r="U34" s="193"/>
      <c r="V34" s="193"/>
      <c r="W34" s="193"/>
      <c r="X34" s="193"/>
      <c r="Y34" s="193"/>
      <c r="Z34" s="95"/>
    </row>
    <row r="35" spans="1:32" ht="24.95" customHeight="1">
      <c r="A35" s="116" t="s">
        <v>143</v>
      </c>
      <c r="B35" s="64"/>
      <c r="C35" s="66" t="s">
        <v>141</v>
      </c>
      <c r="D35" s="65" t="s">
        <v>348</v>
      </c>
      <c r="E35" s="54" t="s">
        <v>350</v>
      </c>
      <c r="F35" s="55"/>
      <c r="G35" s="55"/>
      <c r="H35" s="54" t="s">
        <v>351</v>
      </c>
      <c r="I35" s="54">
        <v>120</v>
      </c>
      <c r="J35" s="60" t="str">
        <f t="shared" ref="J35" si="5">IF(I35="","",IF(I35&lt;$AA$9,"非常勤","常勤"))</f>
        <v>非常勤</v>
      </c>
      <c r="K35" s="56"/>
      <c r="L35" s="245" t="s">
        <v>352</v>
      </c>
      <c r="M35" s="248"/>
      <c r="N35" s="233"/>
      <c r="O35" s="256"/>
      <c r="P35" s="255" t="str">
        <f t="shared" si="0"/>
        <v/>
      </c>
      <c r="Q35" s="259">
        <f t="shared" si="1"/>
        <v>1</v>
      </c>
      <c r="R35" s="259">
        <f t="shared" si="2"/>
        <v>1</v>
      </c>
      <c r="S35" s="192"/>
      <c r="T35" s="191"/>
      <c r="U35" s="192"/>
      <c r="V35" s="192"/>
      <c r="W35" s="192"/>
      <c r="X35" s="192"/>
      <c r="Y35" s="191"/>
    </row>
    <row r="36" spans="1:32" s="115" customFormat="1" ht="6" customHeight="1" thickBot="1">
      <c r="A36" s="234"/>
      <c r="B36" s="235"/>
      <c r="C36" s="235"/>
      <c r="D36" s="235"/>
      <c r="E36" s="235"/>
      <c r="F36" s="236"/>
      <c r="G36" s="235"/>
      <c r="H36" s="235"/>
      <c r="I36" s="235"/>
      <c r="J36" s="235"/>
      <c r="K36" s="235"/>
      <c r="L36" s="237"/>
      <c r="M36" s="232"/>
      <c r="N36" s="232"/>
      <c r="O36" s="232"/>
      <c r="P36" s="255" t="str">
        <f t="shared" si="0"/>
        <v/>
      </c>
      <c r="Q36" s="259">
        <f t="shared" si="1"/>
        <v>0</v>
      </c>
      <c r="R36" s="259">
        <f t="shared" si="2"/>
        <v>0</v>
      </c>
      <c r="S36" s="194"/>
      <c r="T36" s="193"/>
      <c r="U36" s="193"/>
      <c r="V36" s="193"/>
      <c r="W36" s="193"/>
      <c r="X36" s="193"/>
      <c r="Y36" s="193"/>
      <c r="Z36" s="95"/>
    </row>
    <row r="37" spans="1:32" s="115" customFormat="1" ht="13.5" customHeight="1" thickBot="1">
      <c r="A37" s="327" t="s">
        <v>183</v>
      </c>
      <c r="B37" s="327"/>
      <c r="C37" s="327"/>
      <c r="D37" s="327"/>
      <c r="E37" s="327"/>
      <c r="F37" s="327"/>
      <c r="G37" s="327"/>
      <c r="H37" s="327"/>
      <c r="I37" s="328"/>
      <c r="J37" s="327"/>
      <c r="K37" s="327"/>
      <c r="L37" s="327"/>
      <c r="M37" s="326"/>
      <c r="N37" s="326"/>
      <c r="O37" s="326"/>
      <c r="P37" s="255" t="str">
        <f t="shared" si="0"/>
        <v/>
      </c>
      <c r="Q37" s="259">
        <f t="shared" si="1"/>
        <v>0</v>
      </c>
      <c r="R37" s="259">
        <f t="shared" si="2"/>
        <v>0</v>
      </c>
      <c r="S37" s="194"/>
      <c r="T37" s="194"/>
      <c r="U37" s="194"/>
      <c r="V37" s="194"/>
      <c r="W37" s="194"/>
      <c r="X37" s="194"/>
      <c r="Y37" s="194"/>
      <c r="Z37" s="199"/>
      <c r="AA37" s="200"/>
      <c r="AB37" s="200"/>
      <c r="AC37" s="200"/>
      <c r="AD37" s="200"/>
      <c r="AE37" s="200"/>
      <c r="AF37" s="201"/>
    </row>
    <row r="38" spans="1:32" ht="24.95" customHeight="1" thickBot="1">
      <c r="A38" s="238">
        <v>1</v>
      </c>
      <c r="B38" s="239" t="s">
        <v>104</v>
      </c>
      <c r="C38" s="240" t="s">
        <v>95</v>
      </c>
      <c r="D38" s="241" t="s">
        <v>89</v>
      </c>
      <c r="E38" s="242" t="s">
        <v>353</v>
      </c>
      <c r="F38" s="243" t="s">
        <v>82</v>
      </c>
      <c r="G38" s="243" t="s">
        <v>82</v>
      </c>
      <c r="H38" s="266"/>
      <c r="I38" s="58">
        <v>160</v>
      </c>
      <c r="J38" s="267" t="str">
        <f t="shared" ref="J38:J87" si="6">IF(I38="","",IF(I38&lt;$AA$9,"非常勤","常勤"))</f>
        <v>常勤</v>
      </c>
      <c r="K38" s="244"/>
      <c r="L38" s="245"/>
      <c r="M38" s="248" t="s">
        <v>345</v>
      </c>
      <c r="N38" s="233"/>
      <c r="O38" s="256"/>
      <c r="P38" s="255" t="str">
        <f t="shared" si="0"/>
        <v/>
      </c>
      <c r="Q38" s="259">
        <f t="shared" si="1"/>
        <v>2</v>
      </c>
      <c r="R38" s="259">
        <f t="shared" si="2"/>
        <v>1</v>
      </c>
      <c r="S38" s="192"/>
      <c r="T38" s="191"/>
      <c r="U38" s="192"/>
      <c r="V38" s="192"/>
      <c r="W38" s="192"/>
      <c r="X38" s="192"/>
      <c r="Y38" s="191"/>
      <c r="Z38" s="97"/>
      <c r="AA38" s="52" t="s">
        <v>266</v>
      </c>
      <c r="AB38" s="46" t="s">
        <v>69</v>
      </c>
      <c r="AC38" s="47" t="s">
        <v>70</v>
      </c>
      <c r="AD38" s="47" t="s">
        <v>71</v>
      </c>
      <c r="AE38" s="28"/>
      <c r="AF38" s="202"/>
    </row>
    <row r="39" spans="1:32" ht="24.95" customHeight="1" thickBot="1">
      <c r="A39" s="5">
        <v>2</v>
      </c>
      <c r="B39" s="71" t="s">
        <v>104</v>
      </c>
      <c r="C39" s="60" t="s">
        <v>95</v>
      </c>
      <c r="D39" s="70" t="s">
        <v>88</v>
      </c>
      <c r="E39" s="54" t="s">
        <v>354</v>
      </c>
      <c r="F39" s="55" t="s">
        <v>82</v>
      </c>
      <c r="G39" s="55" t="s">
        <v>82</v>
      </c>
      <c r="H39" s="57"/>
      <c r="I39" s="58">
        <v>160</v>
      </c>
      <c r="J39" s="59" t="str">
        <f t="shared" si="6"/>
        <v>常勤</v>
      </c>
      <c r="K39" s="56"/>
      <c r="L39" s="245"/>
      <c r="M39" s="248" t="s">
        <v>345</v>
      </c>
      <c r="N39" s="233"/>
      <c r="O39" s="256"/>
      <c r="P39" s="255" t="str">
        <f t="shared" si="0"/>
        <v/>
      </c>
      <c r="Q39" s="259">
        <f t="shared" si="1"/>
        <v>2</v>
      </c>
      <c r="R39" s="259">
        <f t="shared" si="2"/>
        <v>1</v>
      </c>
      <c r="S39" s="192"/>
      <c r="T39" s="191"/>
      <c r="U39" s="192"/>
      <c r="V39" s="192"/>
      <c r="W39" s="192"/>
      <c r="X39" s="192"/>
      <c r="Y39" s="191"/>
      <c r="Z39" s="97"/>
      <c r="AA39" s="44" t="s">
        <v>72</v>
      </c>
      <c r="AB39" s="45">
        <f>COUNTIF($J$38:$J88,"常勤")+COUNTIF(J35,"常勤")+S40</f>
        <v>17</v>
      </c>
      <c r="AC39" s="45">
        <f>AB39*AA9</f>
        <v>2720</v>
      </c>
      <c r="AD39" s="45"/>
      <c r="AE39" s="28"/>
      <c r="AF39" s="202"/>
    </row>
    <row r="40" spans="1:32" ht="24.95" customHeight="1" thickBot="1">
      <c r="A40" s="5">
        <v>3</v>
      </c>
      <c r="B40" s="71" t="s">
        <v>42</v>
      </c>
      <c r="C40" s="54" t="s">
        <v>103</v>
      </c>
      <c r="D40" s="54" t="s">
        <v>103</v>
      </c>
      <c r="E40" s="54" t="s">
        <v>355</v>
      </c>
      <c r="F40" s="55"/>
      <c r="G40" s="55"/>
      <c r="H40" s="54"/>
      <c r="I40" s="242">
        <v>160</v>
      </c>
      <c r="J40" s="60" t="str">
        <f t="shared" ref="J40:J59" si="7">IF(I40="","",IF(I40&lt;$AA$9,"非常勤","常勤"))</f>
        <v>常勤</v>
      </c>
      <c r="K40" s="56"/>
      <c r="L40" s="245"/>
      <c r="M40" s="248" t="s">
        <v>345</v>
      </c>
      <c r="N40" s="233"/>
      <c r="O40" s="256"/>
      <c r="P40" s="255" t="str">
        <f t="shared" si="0"/>
        <v/>
      </c>
      <c r="Q40" s="259">
        <f t="shared" si="1"/>
        <v>0</v>
      </c>
      <c r="R40" s="259">
        <f t="shared" si="2"/>
        <v>1</v>
      </c>
      <c r="S40" s="192">
        <f>IF(E40="",0,IF(AND(F40="",G40=""),-1,0))</f>
        <v>-1</v>
      </c>
      <c r="T40" s="191"/>
      <c r="U40" s="192"/>
      <c r="V40" s="192"/>
      <c r="W40" s="192"/>
      <c r="X40" s="192"/>
      <c r="Y40" s="191"/>
      <c r="Z40" s="203"/>
      <c r="AA40" s="45" t="s">
        <v>73</v>
      </c>
      <c r="AB40" s="45">
        <f>COUNTIF($J$38:$J88,"非常勤")+COUNTIF(J35,"非常勤")</f>
        <v>5</v>
      </c>
      <c r="AC40" s="45">
        <f>SUMIFS($I$38:$I88,$J$38:$J88,"非常勤")+I35</f>
        <v>440</v>
      </c>
      <c r="AD40" s="197">
        <f>ROUNDDOWN(AC40/AA9,1)</f>
        <v>2.7</v>
      </c>
      <c r="AE40" s="198">
        <f>AB39+AD40</f>
        <v>19.7</v>
      </c>
      <c r="AF40" s="202"/>
    </row>
    <row r="41" spans="1:32" ht="24.95" customHeight="1">
      <c r="A41" s="5">
        <v>4</v>
      </c>
      <c r="B41" s="260" t="str">
        <f>IF(R41=0,"",IF(Q41=0,"職員換算対象外",""))</f>
        <v/>
      </c>
      <c r="C41" s="54" t="s">
        <v>93</v>
      </c>
      <c r="D41" s="54" t="s">
        <v>356</v>
      </c>
      <c r="E41" s="54" t="s">
        <v>357</v>
      </c>
      <c r="F41" s="55" t="s">
        <v>82</v>
      </c>
      <c r="G41" s="55" t="s">
        <v>82</v>
      </c>
      <c r="H41" s="54"/>
      <c r="I41" s="54">
        <v>160</v>
      </c>
      <c r="J41" s="60" t="str">
        <f t="shared" si="7"/>
        <v>常勤</v>
      </c>
      <c r="K41" s="56"/>
      <c r="L41" s="245"/>
      <c r="M41" s="248" t="s">
        <v>345</v>
      </c>
      <c r="N41" s="233"/>
      <c r="O41" s="256"/>
      <c r="P41" s="255" t="str">
        <f t="shared" si="0"/>
        <v/>
      </c>
      <c r="Q41" s="259">
        <f t="shared" si="1"/>
        <v>2</v>
      </c>
      <c r="R41" s="259">
        <f t="shared" si="2"/>
        <v>1</v>
      </c>
      <c r="S41" s="192"/>
      <c r="T41" s="191"/>
      <c r="U41" s="192"/>
      <c r="V41" s="192"/>
      <c r="W41" s="192"/>
      <c r="X41" s="192"/>
      <c r="Y41" s="191"/>
      <c r="Z41" s="97"/>
      <c r="AA41" s="52" t="s">
        <v>265</v>
      </c>
      <c r="AB41" s="46" t="s">
        <v>69</v>
      </c>
      <c r="AC41" s="47" t="s">
        <v>70</v>
      </c>
      <c r="AD41" s="47" t="s">
        <v>71</v>
      </c>
      <c r="AE41" s="28"/>
      <c r="AF41" s="202"/>
    </row>
    <row r="42" spans="1:32" ht="24.95" customHeight="1" thickBot="1">
      <c r="A42" s="5">
        <v>5</v>
      </c>
      <c r="B42" s="260" t="str">
        <f t="shared" ref="B42:B87" si="8">IF(R42=0,"",IF(Q42=0,"職員換算対象外",""))</f>
        <v/>
      </c>
      <c r="C42" s="54" t="s">
        <v>93</v>
      </c>
      <c r="D42" s="54" t="s">
        <v>356</v>
      </c>
      <c r="E42" s="54" t="s">
        <v>358</v>
      </c>
      <c r="F42" s="55" t="s">
        <v>82</v>
      </c>
      <c r="G42" s="55" t="s">
        <v>82</v>
      </c>
      <c r="H42" s="54"/>
      <c r="I42" s="54">
        <v>160</v>
      </c>
      <c r="J42" s="60" t="str">
        <f t="shared" si="7"/>
        <v>常勤</v>
      </c>
      <c r="K42" s="56"/>
      <c r="L42" s="245"/>
      <c r="M42" s="248" t="s">
        <v>345</v>
      </c>
      <c r="N42" s="233"/>
      <c r="O42" s="256"/>
      <c r="P42" s="255" t="str">
        <f t="shared" si="0"/>
        <v/>
      </c>
      <c r="Q42" s="259">
        <f t="shared" si="1"/>
        <v>2</v>
      </c>
      <c r="R42" s="259">
        <f t="shared" si="2"/>
        <v>1</v>
      </c>
      <c r="S42" s="192"/>
      <c r="T42" s="191"/>
      <c r="U42" s="192"/>
      <c r="V42" s="192"/>
      <c r="W42" s="192"/>
      <c r="X42" s="192"/>
      <c r="Y42" s="191"/>
      <c r="Z42" s="97"/>
      <c r="AA42" s="44" t="s">
        <v>72</v>
      </c>
      <c r="AB42" s="45">
        <f>COUNTIF(J12:J27,"常勤")+COUNTIF(J35,"常勤")+COUNTIF(J38:J87,"常勤")</f>
        <v>24</v>
      </c>
      <c r="AC42" s="45">
        <f>AB42*AA9</f>
        <v>3840</v>
      </c>
      <c r="AD42" s="45"/>
      <c r="AE42" s="28"/>
      <c r="AF42" s="202"/>
    </row>
    <row r="43" spans="1:32" ht="24.95" customHeight="1" thickBot="1">
      <c r="A43" s="5">
        <v>6</v>
      </c>
      <c r="B43" s="260" t="str">
        <f t="shared" si="8"/>
        <v/>
      </c>
      <c r="C43" s="54" t="s">
        <v>93</v>
      </c>
      <c r="D43" s="54" t="s">
        <v>359</v>
      </c>
      <c r="E43" s="54" t="s">
        <v>360</v>
      </c>
      <c r="F43" s="55" t="s">
        <v>82</v>
      </c>
      <c r="G43" s="55" t="s">
        <v>82</v>
      </c>
      <c r="H43" s="54"/>
      <c r="I43" s="54">
        <v>160</v>
      </c>
      <c r="J43" s="60" t="str">
        <f t="shared" si="7"/>
        <v>常勤</v>
      </c>
      <c r="K43" s="56"/>
      <c r="L43" s="245"/>
      <c r="M43" s="248" t="s">
        <v>345</v>
      </c>
      <c r="N43" s="233"/>
      <c r="O43" s="256"/>
      <c r="P43" s="255" t="str">
        <f t="shared" si="0"/>
        <v/>
      </c>
      <c r="Q43" s="259">
        <f t="shared" si="1"/>
        <v>2</v>
      </c>
      <c r="R43" s="259">
        <f t="shared" si="2"/>
        <v>1</v>
      </c>
      <c r="S43" s="192"/>
      <c r="T43" s="191"/>
      <c r="U43" s="192"/>
      <c r="V43" s="192"/>
      <c r="W43" s="192"/>
      <c r="X43" s="192"/>
      <c r="Y43" s="191"/>
      <c r="Z43" s="97"/>
      <c r="AA43" s="45" t="s">
        <v>73</v>
      </c>
      <c r="AB43" s="45">
        <f>COUNTIF(J12:J27,"非常勤")+COUNTIF(J35,"非常勤")+COUNTIF(J38:J87,"非常勤")</f>
        <v>10</v>
      </c>
      <c r="AC43" s="45">
        <f>SUMIFS(I12:I35,J12:J35,"非常勤")+SUMIFS(I38:I87,J38:J87,"非常勤")</f>
        <v>840</v>
      </c>
      <c r="AD43" s="197">
        <f>ROUNDDOWN(AC43/AA9,1)</f>
        <v>5.2</v>
      </c>
      <c r="AE43" s="198">
        <f>AB42+AD43</f>
        <v>29.2</v>
      </c>
      <c r="AF43" s="202"/>
    </row>
    <row r="44" spans="1:32" ht="24.95" customHeight="1" thickBot="1">
      <c r="A44" s="5">
        <v>7</v>
      </c>
      <c r="B44" s="260" t="str">
        <f t="shared" si="8"/>
        <v/>
      </c>
      <c r="C44" s="54" t="s">
        <v>93</v>
      </c>
      <c r="D44" s="54" t="s">
        <v>359</v>
      </c>
      <c r="E44" s="54" t="s">
        <v>361</v>
      </c>
      <c r="F44" s="55" t="s">
        <v>82</v>
      </c>
      <c r="G44" s="55" t="s">
        <v>82</v>
      </c>
      <c r="H44" s="54"/>
      <c r="I44" s="54">
        <v>160</v>
      </c>
      <c r="J44" s="60" t="str">
        <f t="shared" si="7"/>
        <v>常勤</v>
      </c>
      <c r="K44" s="56"/>
      <c r="L44" s="245"/>
      <c r="M44" s="248" t="s">
        <v>345</v>
      </c>
      <c r="N44" s="233"/>
      <c r="O44" s="256"/>
      <c r="P44" s="255" t="str">
        <f t="shared" si="0"/>
        <v/>
      </c>
      <c r="Q44" s="259">
        <f t="shared" si="1"/>
        <v>2</v>
      </c>
      <c r="R44" s="259">
        <f t="shared" si="2"/>
        <v>1</v>
      </c>
      <c r="S44" s="192"/>
      <c r="T44" s="191"/>
      <c r="U44" s="192"/>
      <c r="V44" s="192"/>
      <c r="W44" s="192"/>
      <c r="X44" s="192"/>
      <c r="Y44" s="191"/>
      <c r="Z44" s="99"/>
      <c r="AA44" s="204"/>
      <c r="AB44" s="204"/>
      <c r="AC44" s="204"/>
      <c r="AD44" s="204"/>
      <c r="AE44" s="204"/>
      <c r="AF44" s="205"/>
    </row>
    <row r="45" spans="1:32" ht="24.95" customHeight="1">
      <c r="A45" s="5">
        <v>8</v>
      </c>
      <c r="B45" s="260" t="str">
        <f t="shared" si="8"/>
        <v/>
      </c>
      <c r="C45" s="54" t="s">
        <v>93</v>
      </c>
      <c r="D45" s="54" t="s">
        <v>362</v>
      </c>
      <c r="E45" s="54" t="s">
        <v>363</v>
      </c>
      <c r="F45" s="55" t="s">
        <v>82</v>
      </c>
      <c r="G45" s="55" t="s">
        <v>82</v>
      </c>
      <c r="H45" s="54"/>
      <c r="I45" s="54">
        <v>160</v>
      </c>
      <c r="J45" s="60" t="str">
        <f t="shared" si="7"/>
        <v>常勤</v>
      </c>
      <c r="K45" s="56"/>
      <c r="L45" s="245"/>
      <c r="M45" s="248" t="s">
        <v>345</v>
      </c>
      <c r="N45" s="233"/>
      <c r="O45" s="256"/>
      <c r="P45" s="255" t="str">
        <f t="shared" si="0"/>
        <v/>
      </c>
      <c r="Q45" s="259">
        <f t="shared" si="1"/>
        <v>2</v>
      </c>
      <c r="R45" s="259">
        <f t="shared" si="2"/>
        <v>1</v>
      </c>
      <c r="S45" s="192"/>
      <c r="T45" s="191"/>
      <c r="U45" s="192"/>
      <c r="V45" s="192"/>
      <c r="W45" s="192"/>
      <c r="X45" s="192"/>
      <c r="Y45" s="191"/>
    </row>
    <row r="46" spans="1:32" ht="24.95" customHeight="1">
      <c r="A46" s="5">
        <v>9</v>
      </c>
      <c r="B46" s="260" t="str">
        <f t="shared" si="8"/>
        <v/>
      </c>
      <c r="C46" s="54" t="s">
        <v>93</v>
      </c>
      <c r="D46" s="54" t="s">
        <v>362</v>
      </c>
      <c r="E46" s="54" t="s">
        <v>364</v>
      </c>
      <c r="F46" s="55" t="s">
        <v>82</v>
      </c>
      <c r="G46" s="55" t="s">
        <v>82</v>
      </c>
      <c r="H46" s="54"/>
      <c r="I46" s="54">
        <v>160</v>
      </c>
      <c r="J46" s="60" t="str">
        <f t="shared" si="7"/>
        <v>常勤</v>
      </c>
      <c r="K46" s="56"/>
      <c r="L46" s="245"/>
      <c r="M46" s="248" t="s">
        <v>345</v>
      </c>
      <c r="N46" s="233"/>
      <c r="O46" s="256"/>
      <c r="P46" s="255" t="str">
        <f t="shared" si="0"/>
        <v/>
      </c>
      <c r="Q46" s="259">
        <f t="shared" si="1"/>
        <v>2</v>
      </c>
      <c r="R46" s="259">
        <f t="shared" si="2"/>
        <v>1</v>
      </c>
      <c r="S46" s="192"/>
      <c r="T46" s="191"/>
      <c r="U46" s="192"/>
      <c r="V46" s="192"/>
      <c r="W46" s="192"/>
      <c r="X46" s="192"/>
      <c r="Y46" s="191"/>
    </row>
    <row r="47" spans="1:32" ht="24.95" customHeight="1">
      <c r="A47" s="5">
        <v>10</v>
      </c>
      <c r="B47" s="260" t="str">
        <f t="shared" si="8"/>
        <v/>
      </c>
      <c r="C47" s="54" t="s">
        <v>93</v>
      </c>
      <c r="D47" s="275" t="s">
        <v>327</v>
      </c>
      <c r="E47" s="54" t="s">
        <v>365</v>
      </c>
      <c r="F47" s="55" t="s">
        <v>82</v>
      </c>
      <c r="G47" s="55" t="s">
        <v>82</v>
      </c>
      <c r="H47" s="54"/>
      <c r="I47" s="54">
        <v>160</v>
      </c>
      <c r="J47" s="60" t="str">
        <f t="shared" si="7"/>
        <v>常勤</v>
      </c>
      <c r="K47" s="56"/>
      <c r="L47" s="245"/>
      <c r="M47" s="248" t="s">
        <v>345</v>
      </c>
      <c r="N47" s="233"/>
      <c r="O47" s="256"/>
      <c r="P47" s="255" t="str">
        <f t="shared" si="0"/>
        <v/>
      </c>
      <c r="Q47" s="259">
        <f t="shared" si="1"/>
        <v>2</v>
      </c>
      <c r="R47" s="259">
        <f t="shared" si="2"/>
        <v>1</v>
      </c>
      <c r="S47" s="192"/>
      <c r="T47" s="191"/>
      <c r="U47" s="192"/>
      <c r="V47" s="192"/>
      <c r="W47" s="192"/>
      <c r="X47" s="192"/>
      <c r="Y47" s="191"/>
    </row>
    <row r="48" spans="1:32" ht="24.95" customHeight="1">
      <c r="A48" s="5">
        <v>11</v>
      </c>
      <c r="B48" s="260" t="str">
        <f t="shared" si="8"/>
        <v/>
      </c>
      <c r="C48" s="54" t="s">
        <v>93</v>
      </c>
      <c r="D48" s="275" t="s">
        <v>327</v>
      </c>
      <c r="E48" s="54" t="s">
        <v>366</v>
      </c>
      <c r="F48" s="55" t="s">
        <v>82</v>
      </c>
      <c r="G48" s="55" t="s">
        <v>82</v>
      </c>
      <c r="H48" s="54"/>
      <c r="I48" s="54">
        <v>160</v>
      </c>
      <c r="J48" s="60" t="str">
        <f t="shared" si="7"/>
        <v>常勤</v>
      </c>
      <c r="K48" s="56"/>
      <c r="L48" s="245"/>
      <c r="M48" s="248" t="s">
        <v>345</v>
      </c>
      <c r="N48" s="233"/>
      <c r="O48" s="256"/>
      <c r="P48" s="255" t="str">
        <f t="shared" si="0"/>
        <v/>
      </c>
      <c r="Q48" s="259">
        <f t="shared" si="1"/>
        <v>2</v>
      </c>
      <c r="R48" s="259">
        <f t="shared" si="2"/>
        <v>1</v>
      </c>
      <c r="S48" s="192"/>
      <c r="T48" s="191"/>
      <c r="U48" s="192"/>
      <c r="V48" s="192"/>
      <c r="W48" s="192"/>
      <c r="X48" s="192"/>
      <c r="Y48" s="191"/>
    </row>
    <row r="49" spans="1:25" ht="24.95" customHeight="1">
      <c r="A49" s="5">
        <v>12</v>
      </c>
      <c r="B49" s="260" t="str">
        <f t="shared" si="8"/>
        <v/>
      </c>
      <c r="C49" s="54" t="s">
        <v>93</v>
      </c>
      <c r="D49" s="65" t="s">
        <v>326</v>
      </c>
      <c r="E49" s="54" t="s">
        <v>367</v>
      </c>
      <c r="F49" s="55" t="s">
        <v>82</v>
      </c>
      <c r="G49" s="55" t="s">
        <v>82</v>
      </c>
      <c r="H49" s="54"/>
      <c r="I49" s="54">
        <v>160</v>
      </c>
      <c r="J49" s="60" t="str">
        <f t="shared" si="7"/>
        <v>常勤</v>
      </c>
      <c r="K49" s="56" t="s">
        <v>351</v>
      </c>
      <c r="L49" s="245" t="s">
        <v>381</v>
      </c>
      <c r="M49" s="248" t="s">
        <v>345</v>
      </c>
      <c r="N49" s="233"/>
      <c r="O49" s="256"/>
      <c r="P49" s="255" t="str">
        <f t="shared" si="0"/>
        <v/>
      </c>
      <c r="Q49" s="259">
        <f t="shared" si="1"/>
        <v>2</v>
      </c>
      <c r="R49" s="259">
        <f t="shared" si="2"/>
        <v>1</v>
      </c>
      <c r="S49" s="192"/>
      <c r="T49" s="191"/>
      <c r="U49" s="192"/>
      <c r="V49" s="192"/>
      <c r="W49" s="192"/>
      <c r="X49" s="192"/>
      <c r="Y49" s="191"/>
    </row>
    <row r="50" spans="1:25" ht="24.95" customHeight="1">
      <c r="A50" s="5">
        <v>13</v>
      </c>
      <c r="B50" s="260" t="str">
        <f t="shared" si="8"/>
        <v/>
      </c>
      <c r="C50" s="54" t="s">
        <v>93</v>
      </c>
      <c r="D50" s="65" t="s">
        <v>326</v>
      </c>
      <c r="E50" s="54" t="s">
        <v>368</v>
      </c>
      <c r="F50" s="55" t="s">
        <v>82</v>
      </c>
      <c r="G50" s="55" t="s">
        <v>82</v>
      </c>
      <c r="H50" s="54"/>
      <c r="I50" s="54">
        <v>160</v>
      </c>
      <c r="J50" s="60" t="str">
        <f t="shared" si="7"/>
        <v>常勤</v>
      </c>
      <c r="K50" s="56" t="s">
        <v>351</v>
      </c>
      <c r="L50" s="245" t="s">
        <v>382</v>
      </c>
      <c r="M50" s="248" t="s">
        <v>345</v>
      </c>
      <c r="N50" s="233"/>
      <c r="O50" s="256"/>
      <c r="P50" s="255" t="str">
        <f t="shared" si="0"/>
        <v/>
      </c>
      <c r="Q50" s="259">
        <f t="shared" si="1"/>
        <v>2</v>
      </c>
      <c r="R50" s="259">
        <f t="shared" si="2"/>
        <v>1</v>
      </c>
      <c r="S50" s="192"/>
      <c r="T50" s="191"/>
      <c r="U50" s="192"/>
      <c r="V50" s="192"/>
      <c r="W50" s="192"/>
      <c r="X50" s="192"/>
      <c r="Y50" s="191"/>
    </row>
    <row r="51" spans="1:25" ht="24.95" customHeight="1">
      <c r="A51" s="5">
        <v>14</v>
      </c>
      <c r="B51" s="260" t="str">
        <f t="shared" si="8"/>
        <v/>
      </c>
      <c r="C51" s="54" t="s">
        <v>93</v>
      </c>
      <c r="D51" s="65" t="s">
        <v>369</v>
      </c>
      <c r="E51" s="54" t="s">
        <v>370</v>
      </c>
      <c r="F51" s="55" t="s">
        <v>82</v>
      </c>
      <c r="G51" s="55" t="s">
        <v>82</v>
      </c>
      <c r="H51" s="54"/>
      <c r="I51" s="54">
        <v>160</v>
      </c>
      <c r="J51" s="60" t="str">
        <f t="shared" si="7"/>
        <v>常勤</v>
      </c>
      <c r="K51" s="56" t="s">
        <v>351</v>
      </c>
      <c r="L51" s="245" t="s">
        <v>383</v>
      </c>
      <c r="M51" s="248" t="s">
        <v>345</v>
      </c>
      <c r="N51" s="233"/>
      <c r="O51" s="256"/>
      <c r="P51" s="255" t="str">
        <f t="shared" si="0"/>
        <v/>
      </c>
      <c r="Q51" s="259">
        <f t="shared" si="1"/>
        <v>2</v>
      </c>
      <c r="R51" s="259">
        <f t="shared" si="2"/>
        <v>1</v>
      </c>
      <c r="S51" s="192"/>
      <c r="T51" s="191"/>
      <c r="U51" s="192"/>
      <c r="V51" s="192"/>
      <c r="W51" s="192"/>
      <c r="X51" s="192"/>
      <c r="Y51" s="191"/>
    </row>
    <row r="52" spans="1:25" ht="24.95" customHeight="1">
      <c r="A52" s="5">
        <v>15</v>
      </c>
      <c r="B52" s="260" t="str">
        <f t="shared" si="8"/>
        <v/>
      </c>
      <c r="C52" s="54" t="s">
        <v>93</v>
      </c>
      <c r="D52" s="65" t="s">
        <v>369</v>
      </c>
      <c r="E52" s="54" t="s">
        <v>371</v>
      </c>
      <c r="F52" s="55" t="s">
        <v>82</v>
      </c>
      <c r="G52" s="55" t="s">
        <v>82</v>
      </c>
      <c r="H52" s="54"/>
      <c r="I52" s="54">
        <v>160</v>
      </c>
      <c r="J52" s="60" t="str">
        <f t="shared" si="7"/>
        <v>常勤</v>
      </c>
      <c r="K52" s="56"/>
      <c r="L52" s="245"/>
      <c r="M52" s="248" t="s">
        <v>345</v>
      </c>
      <c r="N52" s="233"/>
      <c r="O52" s="256"/>
      <c r="P52" s="255" t="str">
        <f t="shared" si="0"/>
        <v/>
      </c>
      <c r="Q52" s="259">
        <f t="shared" si="1"/>
        <v>2</v>
      </c>
      <c r="R52" s="259">
        <f t="shared" si="2"/>
        <v>1</v>
      </c>
      <c r="S52" s="192"/>
      <c r="T52" s="191"/>
      <c r="U52" s="192"/>
      <c r="V52" s="192"/>
      <c r="W52" s="192"/>
      <c r="X52" s="192"/>
      <c r="Y52" s="191"/>
    </row>
    <row r="53" spans="1:25" ht="24.95" customHeight="1">
      <c r="A53" s="5">
        <v>16</v>
      </c>
      <c r="B53" s="260" t="str">
        <f t="shared" si="8"/>
        <v/>
      </c>
      <c r="C53" s="54" t="s">
        <v>93</v>
      </c>
      <c r="D53" s="65" t="s">
        <v>326</v>
      </c>
      <c r="E53" s="54" t="s">
        <v>372</v>
      </c>
      <c r="F53" s="55" t="s">
        <v>82</v>
      </c>
      <c r="G53" s="55" t="s">
        <v>82</v>
      </c>
      <c r="H53" s="54"/>
      <c r="I53" s="54">
        <v>160</v>
      </c>
      <c r="J53" s="60" t="str">
        <f t="shared" si="7"/>
        <v>常勤</v>
      </c>
      <c r="K53" s="56" t="s">
        <v>351</v>
      </c>
      <c r="L53" s="245" t="s">
        <v>384</v>
      </c>
      <c r="M53" s="248" t="s">
        <v>345</v>
      </c>
      <c r="N53" s="233"/>
      <c r="O53" s="256"/>
      <c r="P53" s="255" t="str">
        <f t="shared" si="0"/>
        <v/>
      </c>
      <c r="Q53" s="259">
        <f t="shared" si="1"/>
        <v>2</v>
      </c>
      <c r="R53" s="259">
        <f t="shared" si="2"/>
        <v>1</v>
      </c>
      <c r="S53" s="192"/>
      <c r="T53" s="191"/>
      <c r="U53" s="192"/>
      <c r="V53" s="192"/>
      <c r="W53" s="192"/>
      <c r="X53" s="192"/>
      <c r="Y53" s="191"/>
    </row>
    <row r="54" spans="1:25" ht="24.95" customHeight="1">
      <c r="A54" s="5">
        <v>17</v>
      </c>
      <c r="B54" s="260" t="str">
        <f t="shared" si="8"/>
        <v/>
      </c>
      <c r="C54" s="54" t="s">
        <v>93</v>
      </c>
      <c r="D54" s="65" t="s">
        <v>373</v>
      </c>
      <c r="E54" s="54" t="s">
        <v>374</v>
      </c>
      <c r="F54" s="55" t="s">
        <v>82</v>
      </c>
      <c r="G54" s="55" t="s">
        <v>82</v>
      </c>
      <c r="H54" s="54"/>
      <c r="I54" s="54">
        <v>160</v>
      </c>
      <c r="J54" s="60" t="str">
        <f t="shared" si="7"/>
        <v>常勤</v>
      </c>
      <c r="K54" s="56" t="s">
        <v>351</v>
      </c>
      <c r="L54" s="245" t="s">
        <v>385</v>
      </c>
      <c r="M54" s="248" t="s">
        <v>345</v>
      </c>
      <c r="N54" s="233"/>
      <c r="O54" s="256"/>
      <c r="P54" s="255" t="str">
        <f t="shared" si="0"/>
        <v/>
      </c>
      <c r="Q54" s="259">
        <f t="shared" si="1"/>
        <v>2</v>
      </c>
      <c r="R54" s="259">
        <f t="shared" si="2"/>
        <v>1</v>
      </c>
      <c r="S54" s="192"/>
      <c r="T54" s="191"/>
      <c r="U54" s="192"/>
      <c r="V54" s="192"/>
      <c r="W54" s="192"/>
      <c r="X54" s="192"/>
      <c r="Y54" s="191"/>
    </row>
    <row r="55" spans="1:25" ht="24.95" customHeight="1">
      <c r="A55" s="5">
        <v>18</v>
      </c>
      <c r="B55" s="260" t="str">
        <f t="shared" si="8"/>
        <v/>
      </c>
      <c r="C55" s="54" t="s">
        <v>93</v>
      </c>
      <c r="D55" s="65" t="s">
        <v>373</v>
      </c>
      <c r="E55" s="54" t="s">
        <v>375</v>
      </c>
      <c r="F55" s="55" t="s">
        <v>82</v>
      </c>
      <c r="G55" s="55" t="s">
        <v>82</v>
      </c>
      <c r="H55" s="54"/>
      <c r="I55" s="54">
        <v>160</v>
      </c>
      <c r="J55" s="60" t="str">
        <f t="shared" si="7"/>
        <v>常勤</v>
      </c>
      <c r="K55" s="56" t="s">
        <v>351</v>
      </c>
      <c r="L55" s="245" t="s">
        <v>386</v>
      </c>
      <c r="M55" s="248" t="s">
        <v>345</v>
      </c>
      <c r="N55" s="233"/>
      <c r="O55" s="256"/>
      <c r="P55" s="255" t="str">
        <f t="shared" si="0"/>
        <v/>
      </c>
      <c r="Q55" s="259">
        <f t="shared" si="1"/>
        <v>2</v>
      </c>
      <c r="R55" s="259">
        <f t="shared" si="2"/>
        <v>1</v>
      </c>
      <c r="S55" s="192"/>
      <c r="T55" s="191"/>
      <c r="U55" s="192"/>
      <c r="V55" s="192"/>
      <c r="W55" s="192"/>
      <c r="X55" s="192"/>
      <c r="Y55" s="191"/>
    </row>
    <row r="56" spans="1:25" ht="24.95" customHeight="1">
      <c r="A56" s="5">
        <v>19</v>
      </c>
      <c r="B56" s="260" t="str">
        <f t="shared" si="8"/>
        <v/>
      </c>
      <c r="C56" s="54" t="s">
        <v>376</v>
      </c>
      <c r="D56" s="65" t="s">
        <v>373</v>
      </c>
      <c r="E56" s="54" t="s">
        <v>377</v>
      </c>
      <c r="F56" s="55"/>
      <c r="G56" s="55"/>
      <c r="H56" s="54" t="s">
        <v>82</v>
      </c>
      <c r="I56" s="54">
        <v>80</v>
      </c>
      <c r="J56" s="60" t="str">
        <f t="shared" si="7"/>
        <v>非常勤</v>
      </c>
      <c r="K56" s="56"/>
      <c r="L56" s="245" t="s">
        <v>376</v>
      </c>
      <c r="M56" s="248" t="s">
        <v>346</v>
      </c>
      <c r="N56" s="233" t="s">
        <v>387</v>
      </c>
      <c r="O56" s="256">
        <v>40</v>
      </c>
      <c r="P56" s="255" t="str">
        <f t="shared" si="0"/>
        <v>OK</v>
      </c>
      <c r="Q56" s="259">
        <f t="shared" si="1"/>
        <v>1</v>
      </c>
      <c r="R56" s="259">
        <f t="shared" si="2"/>
        <v>1</v>
      </c>
      <c r="S56" s="192"/>
      <c r="T56" s="191"/>
      <c r="U56" s="192"/>
      <c r="V56" s="192"/>
      <c r="W56" s="192"/>
      <c r="X56" s="192"/>
      <c r="Y56" s="191"/>
    </row>
    <row r="57" spans="1:25" ht="24.95" customHeight="1">
      <c r="A57" s="5">
        <v>20</v>
      </c>
      <c r="B57" s="260" t="str">
        <f t="shared" si="8"/>
        <v/>
      </c>
      <c r="C57" s="54" t="s">
        <v>93</v>
      </c>
      <c r="D57" s="65" t="s">
        <v>373</v>
      </c>
      <c r="E57" s="54" t="s">
        <v>378</v>
      </c>
      <c r="F57" s="55" t="s">
        <v>82</v>
      </c>
      <c r="G57" s="55" t="s">
        <v>82</v>
      </c>
      <c r="H57" s="54"/>
      <c r="I57" s="54">
        <v>80</v>
      </c>
      <c r="J57" s="60" t="str">
        <f t="shared" si="7"/>
        <v>非常勤</v>
      </c>
      <c r="K57" s="56"/>
      <c r="L57" s="245" t="s">
        <v>376</v>
      </c>
      <c r="M57" s="248" t="s">
        <v>346</v>
      </c>
      <c r="N57" s="233" t="s">
        <v>387</v>
      </c>
      <c r="O57" s="256">
        <v>80</v>
      </c>
      <c r="P57" s="255" t="str">
        <f t="shared" si="0"/>
        <v>OK</v>
      </c>
      <c r="Q57" s="259">
        <f t="shared" si="1"/>
        <v>2</v>
      </c>
      <c r="R57" s="259">
        <f t="shared" si="2"/>
        <v>1</v>
      </c>
      <c r="S57" s="192"/>
      <c r="T57" s="191"/>
      <c r="U57" s="192"/>
      <c r="V57" s="192"/>
      <c r="W57" s="192"/>
      <c r="X57" s="192"/>
      <c r="Y57" s="191"/>
    </row>
    <row r="58" spans="1:25" ht="24.95" customHeight="1">
      <c r="A58" s="5">
        <v>21</v>
      </c>
      <c r="B58" s="260" t="str">
        <f t="shared" si="8"/>
        <v/>
      </c>
      <c r="C58" s="54" t="s">
        <v>93</v>
      </c>
      <c r="D58" s="65" t="s">
        <v>373</v>
      </c>
      <c r="E58" s="54" t="s">
        <v>379</v>
      </c>
      <c r="F58" s="55" t="s">
        <v>82</v>
      </c>
      <c r="G58" s="55" t="s">
        <v>82</v>
      </c>
      <c r="H58" s="54"/>
      <c r="I58" s="54">
        <v>80</v>
      </c>
      <c r="J58" s="60" t="str">
        <f t="shared" si="7"/>
        <v>非常勤</v>
      </c>
      <c r="K58" s="56"/>
      <c r="L58" s="245"/>
      <c r="M58" s="248" t="s">
        <v>345</v>
      </c>
      <c r="N58" s="233"/>
      <c r="O58" s="256"/>
      <c r="P58" s="255" t="str">
        <f t="shared" si="0"/>
        <v/>
      </c>
      <c r="Q58" s="259">
        <f t="shared" si="1"/>
        <v>2</v>
      </c>
      <c r="R58" s="259">
        <f t="shared" si="2"/>
        <v>1</v>
      </c>
      <c r="S58" s="192"/>
      <c r="T58" s="191"/>
      <c r="U58" s="192"/>
      <c r="V58" s="192"/>
      <c r="W58" s="192"/>
      <c r="X58" s="192"/>
      <c r="Y58" s="191"/>
    </row>
    <row r="59" spans="1:25" ht="24.95" customHeight="1">
      <c r="A59" s="5">
        <v>22</v>
      </c>
      <c r="B59" s="260" t="str">
        <f t="shared" si="8"/>
        <v/>
      </c>
      <c r="C59" s="54" t="s">
        <v>93</v>
      </c>
      <c r="D59" s="65" t="s">
        <v>373</v>
      </c>
      <c r="E59" s="54" t="s">
        <v>380</v>
      </c>
      <c r="F59" s="55" t="s">
        <v>82</v>
      </c>
      <c r="G59" s="55" t="s">
        <v>82</v>
      </c>
      <c r="H59" s="54"/>
      <c r="I59" s="54">
        <v>80</v>
      </c>
      <c r="J59" s="60" t="str">
        <f t="shared" si="7"/>
        <v>非常勤</v>
      </c>
      <c r="K59" s="56"/>
      <c r="L59" s="245"/>
      <c r="M59" s="248" t="s">
        <v>345</v>
      </c>
      <c r="N59" s="233"/>
      <c r="O59" s="256"/>
      <c r="P59" s="255" t="str">
        <f t="shared" si="0"/>
        <v/>
      </c>
      <c r="Q59" s="259">
        <f t="shared" si="1"/>
        <v>2</v>
      </c>
      <c r="R59" s="259">
        <f t="shared" si="2"/>
        <v>1</v>
      </c>
      <c r="S59" s="192"/>
      <c r="T59" s="191"/>
      <c r="U59" s="192"/>
      <c r="V59" s="192"/>
      <c r="W59" s="192"/>
      <c r="X59" s="192"/>
      <c r="Y59" s="191"/>
    </row>
    <row r="60" spans="1:25" ht="24.95" customHeight="1">
      <c r="A60" s="5">
        <v>23</v>
      </c>
      <c r="B60" s="260" t="str">
        <f t="shared" si="8"/>
        <v/>
      </c>
      <c r="C60" s="54"/>
      <c r="D60" s="65"/>
      <c r="E60" s="54"/>
      <c r="F60" s="55"/>
      <c r="G60" s="55"/>
      <c r="H60" s="54"/>
      <c r="I60" s="54"/>
      <c r="J60" s="60" t="str">
        <f t="shared" si="6"/>
        <v/>
      </c>
      <c r="K60" s="56"/>
      <c r="L60" s="245"/>
      <c r="M60" s="248"/>
      <c r="N60" s="233"/>
      <c r="O60" s="256"/>
      <c r="P60" s="255" t="str">
        <f t="shared" si="0"/>
        <v/>
      </c>
      <c r="Q60" s="259">
        <f t="shared" si="1"/>
        <v>0</v>
      </c>
      <c r="R60" s="259">
        <f t="shared" si="2"/>
        <v>0</v>
      </c>
      <c r="S60" s="192"/>
      <c r="T60" s="191"/>
      <c r="U60" s="192"/>
      <c r="V60" s="192"/>
      <c r="W60" s="192"/>
      <c r="X60" s="192"/>
      <c r="Y60" s="191"/>
    </row>
    <row r="61" spans="1:25" ht="24.95" customHeight="1">
      <c r="A61" s="5">
        <v>24</v>
      </c>
      <c r="B61" s="260" t="str">
        <f t="shared" si="8"/>
        <v/>
      </c>
      <c r="C61" s="54"/>
      <c r="D61" s="54"/>
      <c r="E61" s="54"/>
      <c r="F61" s="55"/>
      <c r="G61" s="55"/>
      <c r="H61" s="54"/>
      <c r="I61" s="54"/>
      <c r="J61" s="60" t="str">
        <f t="shared" si="6"/>
        <v/>
      </c>
      <c r="K61" s="56"/>
      <c r="L61" s="245"/>
      <c r="M61" s="248"/>
      <c r="N61" s="233"/>
      <c r="O61" s="256"/>
      <c r="P61" s="255" t="str">
        <f t="shared" si="0"/>
        <v/>
      </c>
      <c r="Q61" s="259">
        <f t="shared" si="1"/>
        <v>0</v>
      </c>
      <c r="R61" s="259">
        <f t="shared" si="2"/>
        <v>0</v>
      </c>
      <c r="S61" s="192"/>
      <c r="T61" s="191"/>
      <c r="U61" s="192"/>
      <c r="V61" s="192"/>
      <c r="W61" s="192"/>
      <c r="X61" s="192"/>
      <c r="Y61" s="191"/>
    </row>
    <row r="62" spans="1:25" ht="24.95" customHeight="1">
      <c r="A62" s="5">
        <v>25</v>
      </c>
      <c r="B62" s="260" t="str">
        <f t="shared" si="8"/>
        <v/>
      </c>
      <c r="C62" s="54"/>
      <c r="D62" s="54"/>
      <c r="E62" s="54"/>
      <c r="F62" s="55"/>
      <c r="G62" s="55"/>
      <c r="H62" s="54"/>
      <c r="I62" s="54"/>
      <c r="J62" s="60" t="str">
        <f t="shared" si="6"/>
        <v/>
      </c>
      <c r="K62" s="56"/>
      <c r="L62" s="245"/>
      <c r="M62" s="248"/>
      <c r="N62" s="233"/>
      <c r="O62" s="256"/>
      <c r="P62" s="255" t="str">
        <f t="shared" si="0"/>
        <v/>
      </c>
      <c r="Q62" s="259">
        <f t="shared" si="1"/>
        <v>0</v>
      </c>
      <c r="R62" s="259">
        <f t="shared" si="2"/>
        <v>0</v>
      </c>
      <c r="S62" s="192"/>
      <c r="T62" s="191"/>
      <c r="U62" s="192"/>
      <c r="V62" s="192"/>
      <c r="W62" s="192"/>
      <c r="X62" s="192"/>
      <c r="Y62" s="191"/>
    </row>
    <row r="63" spans="1:25" ht="24.95" customHeight="1">
      <c r="A63" s="5">
        <v>26</v>
      </c>
      <c r="B63" s="260" t="str">
        <f t="shared" si="8"/>
        <v/>
      </c>
      <c r="C63" s="54"/>
      <c r="D63" s="54"/>
      <c r="E63" s="54"/>
      <c r="F63" s="55"/>
      <c r="G63" s="55"/>
      <c r="H63" s="54"/>
      <c r="I63" s="54"/>
      <c r="J63" s="60" t="str">
        <f t="shared" si="6"/>
        <v/>
      </c>
      <c r="K63" s="56"/>
      <c r="L63" s="245"/>
      <c r="M63" s="248"/>
      <c r="N63" s="233"/>
      <c r="O63" s="256"/>
      <c r="P63" s="255" t="str">
        <f t="shared" si="0"/>
        <v/>
      </c>
      <c r="Q63" s="259">
        <f t="shared" si="1"/>
        <v>0</v>
      </c>
      <c r="R63" s="259">
        <f t="shared" si="2"/>
        <v>0</v>
      </c>
      <c r="S63" s="192"/>
      <c r="T63" s="191"/>
      <c r="U63" s="192"/>
      <c r="V63" s="192"/>
      <c r="W63" s="192"/>
      <c r="X63" s="192"/>
      <c r="Y63" s="191"/>
    </row>
    <row r="64" spans="1:25" ht="24.95" customHeight="1">
      <c r="A64" s="5">
        <v>27</v>
      </c>
      <c r="B64" s="260" t="str">
        <f t="shared" si="8"/>
        <v/>
      </c>
      <c r="C64" s="54"/>
      <c r="D64" s="54"/>
      <c r="E64" s="54"/>
      <c r="F64" s="55"/>
      <c r="G64" s="55"/>
      <c r="H64" s="54"/>
      <c r="I64" s="54"/>
      <c r="J64" s="60" t="str">
        <f t="shared" si="6"/>
        <v/>
      </c>
      <c r="K64" s="56"/>
      <c r="L64" s="245"/>
      <c r="M64" s="248"/>
      <c r="N64" s="233"/>
      <c r="O64" s="256"/>
      <c r="P64" s="255" t="str">
        <f t="shared" si="0"/>
        <v/>
      </c>
      <c r="Q64" s="259">
        <f t="shared" si="1"/>
        <v>0</v>
      </c>
      <c r="R64" s="259">
        <f t="shared" si="2"/>
        <v>0</v>
      </c>
      <c r="S64" s="192"/>
      <c r="T64" s="191"/>
      <c r="U64" s="192"/>
      <c r="V64" s="192"/>
      <c r="W64" s="192"/>
      <c r="X64" s="192"/>
      <c r="Y64" s="191"/>
    </row>
    <row r="65" spans="1:25" ht="24.95" customHeight="1">
      <c r="A65" s="5">
        <v>28</v>
      </c>
      <c r="B65" s="260" t="str">
        <f t="shared" si="8"/>
        <v/>
      </c>
      <c r="C65" s="54"/>
      <c r="D65" s="54"/>
      <c r="E65" s="54"/>
      <c r="F65" s="55"/>
      <c r="G65" s="55"/>
      <c r="H65" s="54"/>
      <c r="I65" s="54"/>
      <c r="J65" s="60" t="str">
        <f t="shared" si="6"/>
        <v/>
      </c>
      <c r="K65" s="56"/>
      <c r="L65" s="245"/>
      <c r="M65" s="248"/>
      <c r="N65" s="233"/>
      <c r="O65" s="256"/>
      <c r="P65" s="255" t="str">
        <f t="shared" si="0"/>
        <v/>
      </c>
      <c r="Q65" s="259">
        <f t="shared" si="1"/>
        <v>0</v>
      </c>
      <c r="R65" s="259">
        <f t="shared" si="2"/>
        <v>0</v>
      </c>
      <c r="S65" s="192"/>
      <c r="T65" s="191"/>
      <c r="U65" s="192"/>
      <c r="V65" s="192"/>
      <c r="W65" s="192"/>
      <c r="X65" s="192"/>
      <c r="Y65" s="191"/>
    </row>
    <row r="66" spans="1:25" ht="24.95" customHeight="1">
      <c r="A66" s="5">
        <v>29</v>
      </c>
      <c r="B66" s="260" t="str">
        <f t="shared" si="8"/>
        <v/>
      </c>
      <c r="C66" s="54"/>
      <c r="D66" s="54"/>
      <c r="E66" s="54"/>
      <c r="F66" s="55"/>
      <c r="G66" s="55"/>
      <c r="H66" s="54"/>
      <c r="I66" s="54"/>
      <c r="J66" s="60" t="str">
        <f t="shared" si="6"/>
        <v/>
      </c>
      <c r="K66" s="56"/>
      <c r="L66" s="245"/>
      <c r="M66" s="248"/>
      <c r="N66" s="233"/>
      <c r="O66" s="256"/>
      <c r="P66" s="255" t="str">
        <f t="shared" si="0"/>
        <v/>
      </c>
      <c r="Q66" s="259">
        <f t="shared" si="1"/>
        <v>0</v>
      </c>
      <c r="R66" s="259">
        <f t="shared" si="2"/>
        <v>0</v>
      </c>
      <c r="S66" s="192"/>
      <c r="T66" s="191"/>
      <c r="U66" s="192"/>
      <c r="V66" s="192"/>
      <c r="W66" s="192"/>
      <c r="X66" s="192"/>
      <c r="Y66" s="191"/>
    </row>
    <row r="67" spans="1:25" ht="24.95" customHeight="1">
      <c r="A67" s="5">
        <v>30</v>
      </c>
      <c r="B67" s="260" t="str">
        <f t="shared" si="8"/>
        <v/>
      </c>
      <c r="C67" s="54"/>
      <c r="D67" s="54"/>
      <c r="E67" s="54"/>
      <c r="F67" s="55"/>
      <c r="G67" s="55"/>
      <c r="H67" s="54"/>
      <c r="I67" s="54"/>
      <c r="J67" s="60" t="str">
        <f t="shared" si="6"/>
        <v/>
      </c>
      <c r="K67" s="56"/>
      <c r="L67" s="245"/>
      <c r="M67" s="248"/>
      <c r="N67" s="233"/>
      <c r="O67" s="256"/>
      <c r="P67" s="255" t="str">
        <f t="shared" si="0"/>
        <v/>
      </c>
      <c r="Q67" s="259">
        <f t="shared" si="1"/>
        <v>0</v>
      </c>
      <c r="R67" s="259">
        <f t="shared" si="2"/>
        <v>0</v>
      </c>
      <c r="S67" s="192"/>
      <c r="T67" s="191"/>
      <c r="U67" s="192"/>
      <c r="V67" s="192"/>
      <c r="W67" s="192"/>
      <c r="X67" s="192"/>
      <c r="Y67" s="191"/>
    </row>
    <row r="68" spans="1:25" ht="24.95" customHeight="1">
      <c r="A68" s="5">
        <v>31</v>
      </c>
      <c r="B68" s="260" t="str">
        <f t="shared" si="8"/>
        <v/>
      </c>
      <c r="C68" s="54"/>
      <c r="D68" s="54"/>
      <c r="E68" s="54"/>
      <c r="F68" s="55"/>
      <c r="G68" s="55"/>
      <c r="H68" s="54"/>
      <c r="I68" s="54"/>
      <c r="J68" s="60" t="str">
        <f t="shared" si="6"/>
        <v/>
      </c>
      <c r="K68" s="56"/>
      <c r="L68" s="245"/>
      <c r="M68" s="248"/>
      <c r="N68" s="233"/>
      <c r="O68" s="256"/>
      <c r="P68" s="255" t="str">
        <f t="shared" si="0"/>
        <v/>
      </c>
      <c r="Q68" s="259">
        <f t="shared" si="1"/>
        <v>0</v>
      </c>
      <c r="R68" s="259">
        <f t="shared" si="2"/>
        <v>0</v>
      </c>
      <c r="S68" s="192"/>
      <c r="T68" s="191"/>
      <c r="U68" s="192"/>
      <c r="V68" s="192"/>
      <c r="W68" s="192"/>
      <c r="X68" s="192"/>
      <c r="Y68" s="191"/>
    </row>
    <row r="69" spans="1:25" ht="24.95" customHeight="1">
      <c r="A69" s="5">
        <v>32</v>
      </c>
      <c r="B69" s="260" t="str">
        <f t="shared" si="8"/>
        <v/>
      </c>
      <c r="C69" s="54"/>
      <c r="D69" s="54"/>
      <c r="E69" s="54"/>
      <c r="F69" s="55"/>
      <c r="G69" s="55"/>
      <c r="H69" s="54"/>
      <c r="I69" s="54"/>
      <c r="J69" s="60" t="str">
        <f t="shared" si="6"/>
        <v/>
      </c>
      <c r="K69" s="56"/>
      <c r="L69" s="245"/>
      <c r="M69" s="248"/>
      <c r="N69" s="233"/>
      <c r="O69" s="256"/>
      <c r="P69" s="255" t="str">
        <f t="shared" si="0"/>
        <v/>
      </c>
      <c r="Q69" s="259">
        <f t="shared" si="1"/>
        <v>0</v>
      </c>
      <c r="R69" s="259">
        <f t="shared" si="2"/>
        <v>0</v>
      </c>
      <c r="S69" s="192"/>
      <c r="T69" s="191"/>
      <c r="U69" s="192"/>
      <c r="V69" s="192"/>
      <c r="W69" s="192"/>
      <c r="X69" s="192"/>
      <c r="Y69" s="191"/>
    </row>
    <row r="70" spans="1:25" ht="24.95" customHeight="1">
      <c r="A70" s="5">
        <v>33</v>
      </c>
      <c r="B70" s="260" t="str">
        <f t="shared" si="8"/>
        <v/>
      </c>
      <c r="C70" s="54"/>
      <c r="D70" s="54"/>
      <c r="E70" s="54"/>
      <c r="F70" s="55"/>
      <c r="G70" s="55"/>
      <c r="H70" s="54"/>
      <c r="I70" s="54"/>
      <c r="J70" s="60" t="str">
        <f t="shared" si="6"/>
        <v/>
      </c>
      <c r="K70" s="56"/>
      <c r="L70" s="245"/>
      <c r="M70" s="248"/>
      <c r="N70" s="233"/>
      <c r="O70" s="256"/>
      <c r="P70" s="255" t="str">
        <f t="shared" si="0"/>
        <v/>
      </c>
      <c r="Q70" s="259">
        <f t="shared" si="1"/>
        <v>0</v>
      </c>
      <c r="R70" s="259">
        <f t="shared" si="2"/>
        <v>0</v>
      </c>
      <c r="S70" s="192"/>
      <c r="T70" s="191"/>
      <c r="U70" s="192"/>
      <c r="V70" s="192"/>
      <c r="W70" s="192"/>
      <c r="X70" s="192"/>
      <c r="Y70" s="191"/>
    </row>
    <row r="71" spans="1:25" ht="24.95" customHeight="1">
      <c r="A71" s="5">
        <v>34</v>
      </c>
      <c r="B71" s="260" t="str">
        <f t="shared" si="8"/>
        <v/>
      </c>
      <c r="C71" s="54"/>
      <c r="D71" s="54"/>
      <c r="E71" s="54"/>
      <c r="F71" s="55"/>
      <c r="G71" s="55"/>
      <c r="H71" s="54"/>
      <c r="I71" s="54"/>
      <c r="J71" s="60" t="str">
        <f t="shared" si="6"/>
        <v/>
      </c>
      <c r="K71" s="56"/>
      <c r="L71" s="245"/>
      <c r="M71" s="248"/>
      <c r="N71" s="233"/>
      <c r="O71" s="256"/>
      <c r="P71" s="255" t="str">
        <f t="shared" si="0"/>
        <v/>
      </c>
      <c r="Q71" s="259">
        <f t="shared" si="1"/>
        <v>0</v>
      </c>
      <c r="R71" s="259">
        <f t="shared" si="2"/>
        <v>0</v>
      </c>
      <c r="S71" s="192"/>
      <c r="T71" s="191"/>
      <c r="U71" s="192"/>
      <c r="V71" s="192"/>
      <c r="W71" s="192"/>
      <c r="X71" s="192"/>
      <c r="Y71" s="191"/>
    </row>
    <row r="72" spans="1:25" ht="24.95" customHeight="1">
      <c r="A72" s="5">
        <v>35</v>
      </c>
      <c r="B72" s="260" t="str">
        <f t="shared" si="8"/>
        <v/>
      </c>
      <c r="C72" s="54"/>
      <c r="D72" s="54"/>
      <c r="E72" s="54"/>
      <c r="F72" s="55"/>
      <c r="G72" s="55"/>
      <c r="H72" s="54"/>
      <c r="I72" s="54"/>
      <c r="J72" s="60" t="str">
        <f t="shared" si="6"/>
        <v/>
      </c>
      <c r="K72" s="56"/>
      <c r="L72" s="245"/>
      <c r="M72" s="248"/>
      <c r="N72" s="233"/>
      <c r="O72" s="256"/>
      <c r="P72" s="255" t="str">
        <f t="shared" si="0"/>
        <v/>
      </c>
      <c r="Q72" s="259">
        <f t="shared" si="1"/>
        <v>0</v>
      </c>
      <c r="R72" s="259">
        <f t="shared" si="2"/>
        <v>0</v>
      </c>
      <c r="S72" s="192"/>
      <c r="T72" s="191"/>
      <c r="U72" s="192"/>
      <c r="V72" s="192"/>
      <c r="W72" s="192"/>
      <c r="X72" s="192"/>
      <c r="Y72" s="191"/>
    </row>
    <row r="73" spans="1:25" ht="24.95" customHeight="1">
      <c r="A73" s="5">
        <v>36</v>
      </c>
      <c r="B73" s="260" t="str">
        <f t="shared" si="8"/>
        <v/>
      </c>
      <c r="C73" s="54"/>
      <c r="D73" s="54"/>
      <c r="E73" s="54"/>
      <c r="F73" s="55"/>
      <c r="G73" s="55"/>
      <c r="H73" s="54"/>
      <c r="I73" s="54"/>
      <c r="J73" s="60" t="str">
        <f t="shared" si="6"/>
        <v/>
      </c>
      <c r="K73" s="56"/>
      <c r="L73" s="245"/>
      <c r="M73" s="248"/>
      <c r="N73" s="233"/>
      <c r="O73" s="256"/>
      <c r="P73" s="255" t="str">
        <f t="shared" si="0"/>
        <v/>
      </c>
      <c r="Q73" s="259">
        <f t="shared" si="1"/>
        <v>0</v>
      </c>
      <c r="R73" s="259">
        <f t="shared" si="2"/>
        <v>0</v>
      </c>
      <c r="S73" s="192"/>
      <c r="T73" s="191"/>
      <c r="U73" s="192"/>
      <c r="V73" s="192"/>
      <c r="W73" s="192"/>
      <c r="X73" s="192"/>
      <c r="Y73" s="191"/>
    </row>
    <row r="74" spans="1:25" ht="24.95" customHeight="1">
      <c r="A74" s="5">
        <v>37</v>
      </c>
      <c r="B74" s="260" t="str">
        <f t="shared" si="8"/>
        <v/>
      </c>
      <c r="C74" s="54"/>
      <c r="D74" s="54"/>
      <c r="E74" s="54"/>
      <c r="F74" s="55"/>
      <c r="G74" s="55"/>
      <c r="H74" s="54"/>
      <c r="I74" s="54"/>
      <c r="J74" s="60" t="str">
        <f t="shared" si="6"/>
        <v/>
      </c>
      <c r="K74" s="56"/>
      <c r="L74" s="245"/>
      <c r="M74" s="248"/>
      <c r="N74" s="233"/>
      <c r="O74" s="256"/>
      <c r="P74" s="255" t="str">
        <f t="shared" si="0"/>
        <v/>
      </c>
      <c r="Q74" s="259">
        <f t="shared" si="1"/>
        <v>0</v>
      </c>
      <c r="R74" s="259">
        <f t="shared" si="2"/>
        <v>0</v>
      </c>
      <c r="S74" s="192"/>
      <c r="T74" s="191"/>
      <c r="U74" s="192"/>
      <c r="V74" s="192"/>
      <c r="W74" s="192"/>
      <c r="X74" s="192"/>
      <c r="Y74" s="191"/>
    </row>
    <row r="75" spans="1:25" ht="24.95" customHeight="1">
      <c r="A75" s="5">
        <v>38</v>
      </c>
      <c r="B75" s="260" t="str">
        <f t="shared" si="8"/>
        <v/>
      </c>
      <c r="C75" s="54"/>
      <c r="D75" s="54"/>
      <c r="E75" s="54"/>
      <c r="F75" s="55"/>
      <c r="G75" s="55"/>
      <c r="H75" s="54"/>
      <c r="I75" s="54"/>
      <c r="J75" s="60" t="str">
        <f t="shared" si="6"/>
        <v/>
      </c>
      <c r="K75" s="56"/>
      <c r="L75" s="245"/>
      <c r="M75" s="248"/>
      <c r="N75" s="233"/>
      <c r="O75" s="256"/>
      <c r="P75" s="255" t="str">
        <f t="shared" si="0"/>
        <v/>
      </c>
      <c r="Q75" s="259">
        <f t="shared" si="1"/>
        <v>0</v>
      </c>
      <c r="R75" s="259">
        <f t="shared" si="2"/>
        <v>0</v>
      </c>
      <c r="S75" s="192"/>
      <c r="T75" s="191"/>
      <c r="U75" s="192"/>
      <c r="V75" s="192"/>
      <c r="W75" s="192"/>
      <c r="X75" s="192"/>
      <c r="Y75" s="191"/>
    </row>
    <row r="76" spans="1:25" ht="24.95" customHeight="1">
      <c r="A76" s="5">
        <v>39</v>
      </c>
      <c r="B76" s="260" t="str">
        <f t="shared" si="8"/>
        <v/>
      </c>
      <c r="C76" s="54"/>
      <c r="D76" s="54"/>
      <c r="E76" s="54"/>
      <c r="F76" s="55"/>
      <c r="G76" s="55"/>
      <c r="H76" s="54"/>
      <c r="I76" s="54"/>
      <c r="J76" s="60" t="str">
        <f t="shared" si="6"/>
        <v/>
      </c>
      <c r="K76" s="56"/>
      <c r="L76" s="245"/>
      <c r="M76" s="248"/>
      <c r="N76" s="233"/>
      <c r="O76" s="256"/>
      <c r="P76" s="255" t="str">
        <f t="shared" si="0"/>
        <v/>
      </c>
      <c r="Q76" s="259">
        <f t="shared" si="1"/>
        <v>0</v>
      </c>
      <c r="R76" s="259">
        <f t="shared" si="2"/>
        <v>0</v>
      </c>
      <c r="S76" s="192"/>
      <c r="T76" s="191"/>
      <c r="U76" s="192"/>
      <c r="V76" s="192"/>
      <c r="W76" s="192"/>
      <c r="X76" s="192"/>
      <c r="Y76" s="191"/>
    </row>
    <row r="77" spans="1:25" ht="24.95" customHeight="1">
      <c r="A77" s="5">
        <v>40</v>
      </c>
      <c r="B77" s="260" t="str">
        <f t="shared" si="8"/>
        <v/>
      </c>
      <c r="C77" s="54"/>
      <c r="D77" s="54"/>
      <c r="E77" s="54"/>
      <c r="F77" s="55"/>
      <c r="G77" s="55"/>
      <c r="H77" s="54"/>
      <c r="I77" s="54"/>
      <c r="J77" s="60" t="str">
        <f t="shared" si="6"/>
        <v/>
      </c>
      <c r="K77" s="56"/>
      <c r="L77" s="245"/>
      <c r="M77" s="248"/>
      <c r="N77" s="233"/>
      <c r="O77" s="256"/>
      <c r="P77" s="255" t="str">
        <f t="shared" ref="P77:P87" si="9">IF(M77="あり",IF((I77+O77)&lt;=$AA$9,"OK","NG"),"")</f>
        <v/>
      </c>
      <c r="Q77" s="259">
        <f t="shared" ref="Q77:Q87" si="10">COUNTA(F77:H77)</f>
        <v>0</v>
      </c>
      <c r="R77" s="259">
        <f t="shared" ref="R77:R87" si="11">IF(E77="",0,1)</f>
        <v>0</v>
      </c>
      <c r="S77" s="192"/>
      <c r="T77" s="191"/>
      <c r="U77" s="192"/>
      <c r="V77" s="192"/>
      <c r="W77" s="192"/>
      <c r="X77" s="192"/>
      <c r="Y77" s="191"/>
    </row>
    <row r="78" spans="1:25" ht="24.95" customHeight="1">
      <c r="A78" s="5">
        <v>41</v>
      </c>
      <c r="B78" s="260" t="str">
        <f t="shared" si="8"/>
        <v/>
      </c>
      <c r="C78" s="54"/>
      <c r="D78" s="54"/>
      <c r="E78" s="54"/>
      <c r="F78" s="55"/>
      <c r="G78" s="55"/>
      <c r="H78" s="54"/>
      <c r="I78" s="54"/>
      <c r="J78" s="60" t="str">
        <f t="shared" si="6"/>
        <v/>
      </c>
      <c r="K78" s="56"/>
      <c r="L78" s="245"/>
      <c r="M78" s="248"/>
      <c r="N78" s="233"/>
      <c r="O78" s="256"/>
      <c r="P78" s="255" t="str">
        <f t="shared" si="9"/>
        <v/>
      </c>
      <c r="Q78" s="259">
        <f t="shared" si="10"/>
        <v>0</v>
      </c>
      <c r="R78" s="259">
        <f t="shared" si="11"/>
        <v>0</v>
      </c>
      <c r="S78" s="192"/>
      <c r="T78" s="191"/>
      <c r="U78" s="192"/>
      <c r="V78" s="192"/>
      <c r="W78" s="192"/>
      <c r="X78" s="192"/>
      <c r="Y78" s="191"/>
    </row>
    <row r="79" spans="1:25" ht="24.95" customHeight="1">
      <c r="A79" s="5">
        <v>42</v>
      </c>
      <c r="B79" s="260" t="str">
        <f t="shared" si="8"/>
        <v/>
      </c>
      <c r="C79" s="54"/>
      <c r="D79" s="54"/>
      <c r="E79" s="54"/>
      <c r="F79" s="55"/>
      <c r="G79" s="55"/>
      <c r="H79" s="54"/>
      <c r="I79" s="54"/>
      <c r="J79" s="60" t="str">
        <f t="shared" si="6"/>
        <v/>
      </c>
      <c r="K79" s="56"/>
      <c r="L79" s="245"/>
      <c r="M79" s="248"/>
      <c r="N79" s="233"/>
      <c r="O79" s="256"/>
      <c r="P79" s="255" t="str">
        <f t="shared" si="9"/>
        <v/>
      </c>
      <c r="Q79" s="259">
        <f t="shared" si="10"/>
        <v>0</v>
      </c>
      <c r="R79" s="259">
        <f t="shared" si="11"/>
        <v>0</v>
      </c>
      <c r="S79" s="192"/>
      <c r="T79" s="191"/>
      <c r="U79" s="192"/>
      <c r="V79" s="192"/>
      <c r="W79" s="192"/>
      <c r="X79" s="192"/>
      <c r="Y79" s="191"/>
    </row>
    <row r="80" spans="1:25" ht="24.95" customHeight="1">
      <c r="A80" s="5">
        <v>43</v>
      </c>
      <c r="B80" s="260" t="str">
        <f t="shared" si="8"/>
        <v/>
      </c>
      <c r="C80" s="54"/>
      <c r="D80" s="54"/>
      <c r="E80" s="54"/>
      <c r="F80" s="55"/>
      <c r="G80" s="55"/>
      <c r="H80" s="54"/>
      <c r="I80" s="54"/>
      <c r="J80" s="60" t="str">
        <f t="shared" si="6"/>
        <v/>
      </c>
      <c r="K80" s="56"/>
      <c r="L80" s="245"/>
      <c r="M80" s="248"/>
      <c r="N80" s="233"/>
      <c r="O80" s="256"/>
      <c r="P80" s="255" t="str">
        <f t="shared" si="9"/>
        <v/>
      </c>
      <c r="Q80" s="259">
        <f t="shared" si="10"/>
        <v>0</v>
      </c>
      <c r="R80" s="259">
        <f t="shared" si="11"/>
        <v>0</v>
      </c>
      <c r="S80" s="192"/>
      <c r="T80" s="191"/>
      <c r="U80" s="192"/>
      <c r="V80" s="192"/>
      <c r="W80" s="192"/>
      <c r="X80" s="192"/>
      <c r="Y80" s="191"/>
    </row>
    <row r="81" spans="1:25" ht="24.95" customHeight="1">
      <c r="A81" s="5">
        <v>44</v>
      </c>
      <c r="B81" s="260" t="str">
        <f t="shared" si="8"/>
        <v/>
      </c>
      <c r="C81" s="54"/>
      <c r="D81" s="54"/>
      <c r="E81" s="54"/>
      <c r="F81" s="55"/>
      <c r="G81" s="55"/>
      <c r="H81" s="54"/>
      <c r="I81" s="54"/>
      <c r="J81" s="60" t="str">
        <f t="shared" si="6"/>
        <v/>
      </c>
      <c r="K81" s="56"/>
      <c r="L81" s="245"/>
      <c r="M81" s="248"/>
      <c r="N81" s="233"/>
      <c r="O81" s="256"/>
      <c r="P81" s="255" t="str">
        <f t="shared" si="9"/>
        <v/>
      </c>
      <c r="Q81" s="259">
        <f t="shared" si="10"/>
        <v>0</v>
      </c>
      <c r="R81" s="259">
        <f t="shared" si="11"/>
        <v>0</v>
      </c>
      <c r="S81" s="192"/>
      <c r="T81" s="191"/>
      <c r="U81" s="192"/>
      <c r="V81" s="192"/>
      <c r="W81" s="192"/>
      <c r="X81" s="192"/>
      <c r="Y81" s="191"/>
    </row>
    <row r="82" spans="1:25" ht="24.95" customHeight="1">
      <c r="A82" s="5">
        <v>45</v>
      </c>
      <c r="B82" s="260" t="str">
        <f t="shared" si="8"/>
        <v/>
      </c>
      <c r="C82" s="54"/>
      <c r="D82" s="54"/>
      <c r="E82" s="54"/>
      <c r="F82" s="55"/>
      <c r="G82" s="55"/>
      <c r="H82" s="54"/>
      <c r="I82" s="54"/>
      <c r="J82" s="60" t="str">
        <f t="shared" si="6"/>
        <v/>
      </c>
      <c r="K82" s="56"/>
      <c r="L82" s="245"/>
      <c r="M82" s="248"/>
      <c r="N82" s="233"/>
      <c r="O82" s="256"/>
      <c r="P82" s="255" t="str">
        <f t="shared" si="9"/>
        <v/>
      </c>
      <c r="Q82" s="259">
        <f t="shared" si="10"/>
        <v>0</v>
      </c>
      <c r="R82" s="259">
        <f t="shared" si="11"/>
        <v>0</v>
      </c>
      <c r="S82" s="192"/>
      <c r="T82" s="191"/>
      <c r="U82" s="192"/>
      <c r="V82" s="192"/>
      <c r="W82" s="192"/>
      <c r="X82" s="192"/>
      <c r="Y82" s="191"/>
    </row>
    <row r="83" spans="1:25" ht="24.95" customHeight="1">
      <c r="A83" s="5">
        <v>46</v>
      </c>
      <c r="B83" s="260" t="str">
        <f t="shared" si="8"/>
        <v/>
      </c>
      <c r="C83" s="54"/>
      <c r="D83" s="54"/>
      <c r="E83" s="54"/>
      <c r="F83" s="55"/>
      <c r="G83" s="55"/>
      <c r="H83" s="54"/>
      <c r="I83" s="54"/>
      <c r="J83" s="60" t="str">
        <f t="shared" si="6"/>
        <v/>
      </c>
      <c r="K83" s="56"/>
      <c r="L83" s="245"/>
      <c r="M83" s="248"/>
      <c r="N83" s="233"/>
      <c r="O83" s="256"/>
      <c r="P83" s="255" t="str">
        <f t="shared" si="9"/>
        <v/>
      </c>
      <c r="Q83" s="259">
        <f t="shared" si="10"/>
        <v>0</v>
      </c>
      <c r="R83" s="259">
        <f t="shared" si="11"/>
        <v>0</v>
      </c>
      <c r="S83" s="192"/>
      <c r="T83" s="191"/>
      <c r="U83" s="192"/>
      <c r="V83" s="192"/>
      <c r="W83" s="192"/>
      <c r="X83" s="192"/>
      <c r="Y83" s="191"/>
    </row>
    <row r="84" spans="1:25" ht="24.95" customHeight="1">
      <c r="A84" s="5">
        <v>47</v>
      </c>
      <c r="B84" s="260" t="str">
        <f t="shared" si="8"/>
        <v/>
      </c>
      <c r="C84" s="54"/>
      <c r="D84" s="54"/>
      <c r="E84" s="54"/>
      <c r="F84" s="55"/>
      <c r="G84" s="55"/>
      <c r="H84" s="54"/>
      <c r="I84" s="54"/>
      <c r="J84" s="60" t="str">
        <f t="shared" si="6"/>
        <v/>
      </c>
      <c r="K84" s="56"/>
      <c r="L84" s="245"/>
      <c r="M84" s="248"/>
      <c r="N84" s="233"/>
      <c r="O84" s="256"/>
      <c r="P84" s="255" t="str">
        <f t="shared" si="9"/>
        <v/>
      </c>
      <c r="Q84" s="259">
        <f t="shared" si="10"/>
        <v>0</v>
      </c>
      <c r="R84" s="259">
        <f t="shared" si="11"/>
        <v>0</v>
      </c>
      <c r="S84" s="192"/>
      <c r="T84" s="191"/>
      <c r="U84" s="192"/>
      <c r="V84" s="192"/>
      <c r="W84" s="192"/>
      <c r="X84" s="192"/>
      <c r="Y84" s="191"/>
    </row>
    <row r="85" spans="1:25" ht="24.95" customHeight="1">
      <c r="A85" s="5">
        <v>48</v>
      </c>
      <c r="B85" s="260" t="str">
        <f t="shared" si="8"/>
        <v/>
      </c>
      <c r="C85" s="54"/>
      <c r="D85" s="54"/>
      <c r="E85" s="54"/>
      <c r="F85" s="55"/>
      <c r="G85" s="55"/>
      <c r="H85" s="54"/>
      <c r="I85" s="54"/>
      <c r="J85" s="60" t="str">
        <f t="shared" si="6"/>
        <v/>
      </c>
      <c r="K85" s="56"/>
      <c r="L85" s="245"/>
      <c r="M85" s="248"/>
      <c r="N85" s="233"/>
      <c r="O85" s="256"/>
      <c r="P85" s="255" t="str">
        <f t="shared" si="9"/>
        <v/>
      </c>
      <c r="Q85" s="259">
        <f t="shared" si="10"/>
        <v>0</v>
      </c>
      <c r="R85" s="259">
        <f t="shared" si="11"/>
        <v>0</v>
      </c>
      <c r="S85" s="192"/>
      <c r="T85" s="191"/>
      <c r="U85" s="192"/>
      <c r="V85" s="192"/>
      <c r="W85" s="192"/>
      <c r="X85" s="192"/>
      <c r="Y85" s="191"/>
    </row>
    <row r="86" spans="1:25" ht="24.95" customHeight="1">
      <c r="A86" s="5">
        <v>49</v>
      </c>
      <c r="B86" s="260" t="str">
        <f t="shared" si="8"/>
        <v/>
      </c>
      <c r="C86" s="54"/>
      <c r="D86" s="54"/>
      <c r="E86" s="54"/>
      <c r="F86" s="55"/>
      <c r="G86" s="55"/>
      <c r="H86" s="54"/>
      <c r="I86" s="54"/>
      <c r="J86" s="60" t="str">
        <f t="shared" si="6"/>
        <v/>
      </c>
      <c r="K86" s="56"/>
      <c r="L86" s="245"/>
      <c r="M86" s="248"/>
      <c r="N86" s="233"/>
      <c r="O86" s="256"/>
      <c r="P86" s="255" t="str">
        <f t="shared" si="9"/>
        <v/>
      </c>
      <c r="Q86" s="259">
        <f t="shared" si="10"/>
        <v>0</v>
      </c>
      <c r="R86" s="259">
        <f t="shared" si="11"/>
        <v>0</v>
      </c>
      <c r="S86" s="192"/>
      <c r="T86" s="191"/>
      <c r="U86" s="192"/>
      <c r="V86" s="192"/>
      <c r="W86" s="192"/>
      <c r="X86" s="192"/>
      <c r="Y86" s="191"/>
    </row>
    <row r="87" spans="1:25" ht="24.95" customHeight="1">
      <c r="A87" s="5">
        <v>50</v>
      </c>
      <c r="B87" s="260" t="str">
        <f t="shared" si="8"/>
        <v/>
      </c>
      <c r="C87" s="54"/>
      <c r="D87" s="54"/>
      <c r="E87" s="54"/>
      <c r="F87" s="55"/>
      <c r="G87" s="55"/>
      <c r="H87" s="54"/>
      <c r="I87" s="54"/>
      <c r="J87" s="60" t="str">
        <f t="shared" si="6"/>
        <v/>
      </c>
      <c r="K87" s="54"/>
      <c r="L87" s="245"/>
      <c r="M87" s="249"/>
      <c r="N87" s="233"/>
      <c r="O87" s="256"/>
      <c r="P87" s="255" t="str">
        <f t="shared" si="9"/>
        <v/>
      </c>
      <c r="Q87" s="259">
        <f t="shared" si="10"/>
        <v>0</v>
      </c>
      <c r="R87" s="259">
        <f t="shared" si="11"/>
        <v>0</v>
      </c>
      <c r="S87" s="192"/>
      <c r="T87" s="191"/>
      <c r="U87" s="192"/>
      <c r="V87" s="192"/>
      <c r="W87" s="192"/>
      <c r="X87" s="192"/>
      <c r="Y87" s="191"/>
    </row>
  </sheetData>
  <mergeCells count="22">
    <mergeCell ref="M10:O10"/>
    <mergeCell ref="A37:O37"/>
    <mergeCell ref="A1:O1"/>
    <mergeCell ref="N4:O4"/>
    <mergeCell ref="D10:D11"/>
    <mergeCell ref="B10:B11"/>
    <mergeCell ref="A29:A33"/>
    <mergeCell ref="A12:A27"/>
    <mergeCell ref="B29:B33"/>
    <mergeCell ref="A4:D4"/>
    <mergeCell ref="F10:H10"/>
    <mergeCell ref="I10:I11"/>
    <mergeCell ref="L10:L11"/>
    <mergeCell ref="E10:E11"/>
    <mergeCell ref="C10:C11"/>
    <mergeCell ref="A10:A11"/>
    <mergeCell ref="J10:J11"/>
    <mergeCell ref="K10:K11"/>
    <mergeCell ref="D6:E6"/>
    <mergeCell ref="D7:E7"/>
    <mergeCell ref="F6:I6"/>
    <mergeCell ref="F7:I7"/>
  </mergeCells>
  <phoneticPr fontId="1"/>
  <conditionalFormatting sqref="N12:O12">
    <cfRule type="expression" dxfId="5" priority="5">
      <formula>$M$12="なし"</formula>
    </cfRule>
  </conditionalFormatting>
  <conditionalFormatting sqref="N12:O15 N17:O35">
    <cfRule type="expression" dxfId="4" priority="4">
      <formula>$M12="なし"</formula>
    </cfRule>
  </conditionalFormatting>
  <conditionalFormatting sqref="N38:O55 N58:O87">
    <cfRule type="expression" dxfId="3" priority="3">
      <formula>$M38="なし"</formula>
    </cfRule>
  </conditionalFormatting>
  <conditionalFormatting sqref="N16:O16">
    <cfRule type="expression" dxfId="2" priority="2">
      <formula>$M16="なし"</formula>
    </cfRule>
  </conditionalFormatting>
  <conditionalFormatting sqref="N56:O57">
    <cfRule type="expression" dxfId="1" priority="1">
      <formula>$M56="なし"</formula>
    </cfRule>
  </conditionalFormatting>
  <dataValidations count="6">
    <dataValidation type="list" allowBlank="1" showInputMessage="1" showErrorMessage="1" sqref="F12:G27 F29:G33 F35:G35 F38:H87">
      <formula1>"〇"</formula1>
    </dataValidation>
    <dataValidation type="list" allowBlank="1" showInputMessage="1" showErrorMessage="1" sqref="J35 J29:J33 J12:J27 J38:J87">
      <formula1>"常勤,非常勤,常勤補助,非常勤補助"</formula1>
    </dataValidation>
    <dataValidation type="list" allowBlank="1" showInputMessage="1" showErrorMessage="1" sqref="C18">
      <formula1>"事務職員,園長兼務"</formula1>
    </dataValidation>
    <dataValidation type="list" allowBlank="1" showInputMessage="1" showErrorMessage="1" sqref="K12:K27 K29:K33 K35 K38:K87">
      <formula1>"○,―"</formula1>
    </dataValidation>
    <dataValidation type="list" allowBlank="1" showInputMessage="1" showErrorMessage="1" sqref="M12:M27 M29:M33 M35 M38:M87">
      <formula1>"あり,なし"</formula1>
    </dataValidation>
    <dataValidation type="list" allowBlank="1" showInputMessage="1" showErrorMessage="1" sqref="H12:H27 H29:H33 H35">
      <formula1>"○"</formula1>
    </dataValidation>
  </dataValidations>
  <pageMargins left="0.51181102362204722" right="0.31496062992125984" top="0.55118110236220474" bottom="0.55118110236220474" header="0.31496062992125984" footer="0.31496062992125984"/>
  <pageSetup paperSize="9" scale="68" fitToHeight="0" orientation="portrait" r:id="rId1"/>
  <rowBreaks count="1" manualBreakCount="1">
    <brk id="35" max="16383"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35"/>
  <sheetViews>
    <sheetView view="pageBreakPreview" zoomScale="130" zoomScaleNormal="100" zoomScaleSheetLayoutView="130" workbookViewId="0">
      <selection activeCell="H34" sqref="H34:I34"/>
    </sheetView>
  </sheetViews>
  <sheetFormatPr defaultRowHeight="18.75"/>
  <cols>
    <col min="1" max="3" width="3.25" customWidth="1"/>
    <col min="4" max="4" width="18.125" customWidth="1"/>
    <col min="5" max="5" width="2.25" customWidth="1"/>
    <col min="6" max="8" width="3.25" customWidth="1"/>
    <col min="9" max="9" width="42.25" customWidth="1"/>
    <col min="10" max="10" width="2.875" customWidth="1"/>
    <col min="11" max="11" width="3.5" customWidth="1"/>
    <col min="12" max="12" width="7.25" customWidth="1"/>
    <col min="13" max="13" width="16.75" customWidth="1"/>
    <col min="14" max="16" width="4.375" customWidth="1"/>
    <col min="17" max="17" width="3" customWidth="1"/>
    <col min="18" max="18" width="7.375" customWidth="1"/>
  </cols>
  <sheetData>
    <row r="1" spans="1:18" ht="24">
      <c r="A1" s="290" t="s">
        <v>170</v>
      </c>
      <c r="B1" s="290"/>
      <c r="C1" s="290"/>
      <c r="D1" s="290"/>
      <c r="E1" s="290"/>
      <c r="F1" s="290"/>
      <c r="G1" s="290"/>
      <c r="H1" s="290"/>
      <c r="I1" s="290"/>
      <c r="J1" s="10"/>
      <c r="K1" s="10"/>
      <c r="L1" s="10" t="s">
        <v>202</v>
      </c>
    </row>
    <row r="2" spans="1:18" ht="19.5" thickBot="1">
      <c r="A2" t="s">
        <v>243</v>
      </c>
      <c r="I2" s="149">
        <f>改修履歴!A1</f>
        <v>1</v>
      </c>
      <c r="K2" s="136">
        <f>IF(L2="可",1,0)</f>
        <v>1</v>
      </c>
      <c r="L2" s="133" t="str">
        <f>IF(N2=1,"可","不可")</f>
        <v>可</v>
      </c>
      <c r="M2" s="29" t="s">
        <v>193</v>
      </c>
      <c r="N2">
        <f t="shared" ref="N2:N8" si="0">SUM(O2:Q2)</f>
        <v>1</v>
      </c>
      <c r="O2">
        <f>IF(COUNTA(③職員名簿!D40:E40)=2,1,0)</f>
        <v>1</v>
      </c>
    </row>
    <row r="3" spans="1:18" ht="19.5" thickBot="1">
      <c r="A3" s="309">
        <f>①基本情報!A4</f>
        <v>45383</v>
      </c>
      <c r="B3" s="346"/>
      <c r="C3" s="346"/>
      <c r="D3" s="310"/>
      <c r="K3" s="136">
        <f t="shared" ref="K3:K12" si="1">IF(L3="可",1,0)</f>
        <v>1</v>
      </c>
      <c r="L3" s="133" t="str">
        <f>IF(N3=3,"可","不可")</f>
        <v>可</v>
      </c>
      <c r="M3" s="29" t="s">
        <v>194</v>
      </c>
      <c r="N3">
        <f t="shared" si="0"/>
        <v>3</v>
      </c>
      <c r="O3">
        <f>IF(SUM(①基本情報!H18:H19)&gt;300,0,IF(SUM(①基本情報!H18:H19)&lt;36,0,1))</f>
        <v>1</v>
      </c>
      <c r="P3">
        <f>IF(⑤集計表!O18&lt;0,0,1)</f>
        <v>1</v>
      </c>
      <c r="Q3">
        <f t="shared" ref="Q3:Q8" si="2">$K$13</f>
        <v>1</v>
      </c>
    </row>
    <row r="4" spans="1:18" ht="17.25" customHeight="1">
      <c r="A4" s="7"/>
      <c r="B4" s="8"/>
      <c r="C4" s="8"/>
      <c r="D4" s="8"/>
      <c r="E4" s="8"/>
      <c r="F4" s="8"/>
      <c r="G4" s="8"/>
      <c r="H4" s="8"/>
      <c r="I4" s="10"/>
      <c r="K4" s="136">
        <f t="shared" si="1"/>
        <v>1</v>
      </c>
      <c r="L4" s="133" t="str">
        <f>IF(N4=2,"可","不可")</f>
        <v>可</v>
      </c>
      <c r="M4" s="29" t="s">
        <v>195</v>
      </c>
      <c r="N4">
        <f t="shared" si="0"/>
        <v>2</v>
      </c>
      <c r="O4">
        <f>IF(⑤集計表!O18&lt;0,0,1)</f>
        <v>1</v>
      </c>
      <c r="Q4">
        <f t="shared" si="2"/>
        <v>1</v>
      </c>
    </row>
    <row r="5" spans="1:18" ht="19.5" thickBot="1">
      <c r="A5" s="3" t="s">
        <v>38</v>
      </c>
      <c r="F5" s="27"/>
      <c r="G5" s="27"/>
      <c r="H5" s="27"/>
      <c r="I5" s="27"/>
      <c r="K5" s="136">
        <f t="shared" si="1"/>
        <v>1</v>
      </c>
      <c r="L5" s="133" t="str">
        <f>IF(N5=2,"可","不可")</f>
        <v>可</v>
      </c>
      <c r="M5" s="29" t="s">
        <v>196</v>
      </c>
      <c r="N5">
        <f t="shared" si="0"/>
        <v>2</v>
      </c>
      <c r="O5">
        <f>IF(⑤集計表!O18&lt;0,0,1)</f>
        <v>1</v>
      </c>
      <c r="Q5">
        <f t="shared" si="2"/>
        <v>1</v>
      </c>
    </row>
    <row r="6" spans="1:18" ht="19.5" thickBot="1">
      <c r="A6" s="313" t="str">
        <f>①基本情報!A7</f>
        <v>記載例認定こども園</v>
      </c>
      <c r="B6" s="314"/>
      <c r="C6" s="314"/>
      <c r="D6" s="314"/>
      <c r="E6" s="314"/>
      <c r="F6" s="314"/>
      <c r="G6" s="315"/>
      <c r="H6" s="69"/>
      <c r="K6" s="136">
        <f t="shared" si="1"/>
        <v>1</v>
      </c>
      <c r="L6" s="133" t="str">
        <f>IF(N6=2,"可","不可")</f>
        <v>可</v>
      </c>
      <c r="M6" s="29" t="s">
        <v>197</v>
      </c>
      <c r="N6">
        <f t="shared" si="0"/>
        <v>2</v>
      </c>
      <c r="O6">
        <f>IF(⑤集計表!O30&lt;0,0,1)</f>
        <v>1</v>
      </c>
      <c r="Q6">
        <f t="shared" si="2"/>
        <v>1</v>
      </c>
    </row>
    <row r="7" spans="1:18">
      <c r="K7" s="136">
        <f t="shared" si="1"/>
        <v>1</v>
      </c>
      <c r="L7" s="133" t="str">
        <f>IF(N7=2,"可","不可")</f>
        <v>可</v>
      </c>
      <c r="M7" s="29" t="s">
        <v>198</v>
      </c>
      <c r="N7">
        <f t="shared" si="0"/>
        <v>2</v>
      </c>
      <c r="O7">
        <f>IF(⑤集計表!O30&lt;0,0,1)</f>
        <v>1</v>
      </c>
      <c r="Q7">
        <f t="shared" si="2"/>
        <v>1</v>
      </c>
    </row>
    <row r="8" spans="1:18" ht="19.5" thickBot="1">
      <c r="A8" t="s">
        <v>68</v>
      </c>
      <c r="F8" t="s">
        <v>50</v>
      </c>
      <c r="K8" s="136">
        <f t="shared" si="1"/>
        <v>1</v>
      </c>
      <c r="L8" s="133" t="str">
        <f>IF(N8=3,"可","不可")</f>
        <v>可</v>
      </c>
      <c r="M8" s="29" t="s">
        <v>192</v>
      </c>
      <c r="N8">
        <f t="shared" si="0"/>
        <v>3</v>
      </c>
      <c r="O8">
        <f>IF(COUNTIF(G12:G13,"〇")=0,1,0)</f>
        <v>1</v>
      </c>
      <c r="P8">
        <f>IF(COUNTA(③職員名簿!E16)=1,1,0)</f>
        <v>1</v>
      </c>
      <c r="Q8">
        <f t="shared" si="2"/>
        <v>1</v>
      </c>
    </row>
    <row r="9" spans="1:18" ht="19.5" thickBot="1">
      <c r="A9" s="1">
        <v>1</v>
      </c>
      <c r="B9" s="90" t="s">
        <v>82</v>
      </c>
      <c r="C9" s="347" t="s">
        <v>41</v>
      </c>
      <c r="D9" s="348"/>
      <c r="E9" s="28"/>
      <c r="F9" s="1">
        <v>16</v>
      </c>
      <c r="G9" s="19"/>
      <c r="H9" s="348" t="s">
        <v>51</v>
      </c>
      <c r="I9" s="349"/>
      <c r="K9" s="136">
        <f t="shared" si="1"/>
        <v>1</v>
      </c>
      <c r="L9" s="133" t="str">
        <f>IF(N9=2,"可","不可")</f>
        <v>可</v>
      </c>
      <c r="M9" s="29" t="s">
        <v>199</v>
      </c>
      <c r="N9">
        <f>SUM(O9:P9)</f>
        <v>2</v>
      </c>
      <c r="O9">
        <f>IF(①基本情報!H21&lt;90,0,1)</f>
        <v>1</v>
      </c>
      <c r="P9">
        <f>IF(COUNTA(③職員名簿!D18:E19)=4,1,0)</f>
        <v>1</v>
      </c>
    </row>
    <row r="10" spans="1:18" ht="19.5" thickBot="1">
      <c r="A10" s="1">
        <v>2</v>
      </c>
      <c r="B10" s="19" t="s">
        <v>82</v>
      </c>
      <c r="C10" s="347" t="str">
        <f>IF(K2=1,"副園長・教頭配置加算","【適用不可】副園長・教頭配置加算")</f>
        <v>副園長・教頭配置加算</v>
      </c>
      <c r="D10" s="348"/>
      <c r="E10" s="28"/>
      <c r="F10" s="1">
        <v>17</v>
      </c>
      <c r="G10" s="19"/>
      <c r="H10" s="348" t="s">
        <v>52</v>
      </c>
      <c r="I10" s="349"/>
      <c r="K10" s="136">
        <f t="shared" si="1"/>
        <v>1</v>
      </c>
      <c r="L10" s="133" t="str">
        <f>IF(N10=1,"可","不可")</f>
        <v>可</v>
      </c>
      <c r="M10" s="29" t="s">
        <v>200</v>
      </c>
      <c r="N10">
        <f>SUM(O10:P10)</f>
        <v>1</v>
      </c>
      <c r="O10">
        <f>IF(①基本情報!L4&gt;=2,1,0)</f>
        <v>1</v>
      </c>
    </row>
    <row r="11" spans="1:18" ht="19.5" thickBot="1">
      <c r="A11" s="1">
        <v>3</v>
      </c>
      <c r="B11" s="19" t="s">
        <v>82</v>
      </c>
      <c r="C11" s="347" t="str">
        <f>IF(K3=1,"学級編制調整加配加算","【適用不可】学級編制調整加配加算")</f>
        <v>学級編制調整加配加算</v>
      </c>
      <c r="D11" s="348"/>
      <c r="E11" s="28"/>
      <c r="F11" s="1">
        <v>18</v>
      </c>
      <c r="G11" s="19"/>
      <c r="H11" s="118"/>
      <c r="I11" s="92" t="s">
        <v>53</v>
      </c>
      <c r="K11" s="136">
        <f t="shared" si="1"/>
        <v>1</v>
      </c>
      <c r="L11" s="133" t="str">
        <f>IF(N11=1,"可","不可")</f>
        <v>可</v>
      </c>
      <c r="M11" s="29" t="s">
        <v>201</v>
      </c>
      <c r="N11">
        <f>SUM(O11:P11)</f>
        <v>1</v>
      </c>
      <c r="O11">
        <f>IF(①基本情報!L3&gt;=1,1,0)</f>
        <v>1</v>
      </c>
    </row>
    <row r="12" spans="1:18" ht="19.5" thickBot="1">
      <c r="A12" s="1">
        <v>4</v>
      </c>
      <c r="B12" s="19" t="s">
        <v>82</v>
      </c>
      <c r="C12" s="347" t="str">
        <f>IF(K4=1,"3歳児配置改善加算","【適用不可】3歳児配置改善加算")</f>
        <v>3歳児配置改善加算</v>
      </c>
      <c r="D12" s="348"/>
      <c r="E12" s="28"/>
      <c r="F12" s="355">
        <v>19</v>
      </c>
      <c r="G12" s="19"/>
      <c r="H12" s="348" t="s">
        <v>99</v>
      </c>
      <c r="I12" s="349"/>
      <c r="K12" s="136">
        <f t="shared" si="1"/>
        <v>0</v>
      </c>
      <c r="L12" s="133" t="str">
        <f>IF(AND(N12=2,B16=""),"可","不可")</f>
        <v>不可</v>
      </c>
      <c r="M12" s="29" t="s">
        <v>312</v>
      </c>
      <c r="N12">
        <f t="shared" ref="N12" si="3">SUM(O12:Q12)</f>
        <v>2</v>
      </c>
      <c r="O12">
        <f>IF(⑤集計表!O18&lt;0,0,1)</f>
        <v>1</v>
      </c>
      <c r="Q12">
        <f t="shared" ref="Q12" si="4">$K$13</f>
        <v>1</v>
      </c>
    </row>
    <row r="13" spans="1:18" ht="19.5" thickBot="1">
      <c r="A13" s="1">
        <v>5</v>
      </c>
      <c r="B13" s="19"/>
      <c r="C13" s="347" t="str">
        <f>IF(K5=1,"満3歳児対応加配加算","【適用不可】満3歳児対応加配加算")</f>
        <v>満3歳児対応加配加算</v>
      </c>
      <c r="D13" s="348"/>
      <c r="E13" s="28"/>
      <c r="F13" s="356"/>
      <c r="G13" s="19"/>
      <c r="H13" s="348" t="s">
        <v>100</v>
      </c>
      <c r="I13" s="349"/>
      <c r="K13" s="136">
        <f>IF(L13="OK",1,0)</f>
        <v>1</v>
      </c>
      <c r="L13" s="133" t="str">
        <f>IF(⑤集計表!M33="満たしている","OK","NG")</f>
        <v>OK</v>
      </c>
      <c r="M13" s="145" t="s">
        <v>235</v>
      </c>
    </row>
    <row r="14" spans="1:18" ht="19.5" thickBot="1">
      <c r="A14" s="1">
        <v>6</v>
      </c>
      <c r="B14" s="19"/>
      <c r="C14" s="347" t="str">
        <f>IF(K12=1,"4歳以上児配置改善加算","【適用不可】4歳以上児配置改善加算")</f>
        <v>【適用不可】4歳以上児配置改善加算</v>
      </c>
      <c r="D14" s="348"/>
      <c r="E14" s="28"/>
      <c r="F14" s="1">
        <v>20</v>
      </c>
      <c r="G14" s="19"/>
      <c r="H14" s="348" t="s">
        <v>54</v>
      </c>
      <c r="I14" s="349"/>
      <c r="L14" s="134"/>
      <c r="M14" s="29"/>
    </row>
    <row r="15" spans="1:18" ht="19.5" thickBot="1">
      <c r="A15" s="1">
        <v>7</v>
      </c>
      <c r="B15" s="19" t="s">
        <v>82</v>
      </c>
      <c r="C15" s="350" t="str">
        <f>IF(K6=1,"講師配置加算","【適用不可】講師配置加算")</f>
        <v>講師配置加算</v>
      </c>
      <c r="D15" s="351"/>
      <c r="E15" s="28"/>
      <c r="F15" s="1">
        <v>21</v>
      </c>
      <c r="G15" s="19"/>
      <c r="H15" s="348" t="s">
        <v>55</v>
      </c>
      <c r="I15" s="349"/>
      <c r="L15" t="s">
        <v>205</v>
      </c>
      <c r="O15" s="52" t="s">
        <v>106</v>
      </c>
      <c r="P15" s="52" t="s">
        <v>105</v>
      </c>
      <c r="R15" s="144" t="s">
        <v>231</v>
      </c>
    </row>
    <row r="16" spans="1:18" ht="19.5" thickBot="1">
      <c r="A16" s="1">
        <v>8</v>
      </c>
      <c r="B16" s="19" t="s">
        <v>82</v>
      </c>
      <c r="C16" s="19">
        <v>2</v>
      </c>
      <c r="D16" s="68" t="str">
        <f>IF(K7=1,"チーム保育加配加算","【適用不可】チーム保育加配加算")</f>
        <v>チーム保育加配加算</v>
      </c>
      <c r="E16" s="28"/>
      <c r="F16" s="1">
        <v>22</v>
      </c>
      <c r="G16" s="19"/>
      <c r="H16" s="348" t="s">
        <v>56</v>
      </c>
      <c r="I16" s="349"/>
      <c r="M16" s="357" t="s">
        <v>175</v>
      </c>
      <c r="O16" s="52">
        <v>45</v>
      </c>
      <c r="P16" s="52">
        <v>1</v>
      </c>
      <c r="R16" s="142" t="s">
        <v>217</v>
      </c>
    </row>
    <row r="17" spans="1:18" ht="19.5" thickBot="1">
      <c r="A17" s="1">
        <v>9</v>
      </c>
      <c r="B17" s="19" t="s">
        <v>82</v>
      </c>
      <c r="C17" s="352" t="s">
        <v>43</v>
      </c>
      <c r="D17" s="353"/>
      <c r="E17" s="28"/>
      <c r="F17" t="s">
        <v>57</v>
      </c>
      <c r="I17" s="29"/>
      <c r="M17" s="326"/>
      <c r="O17" s="52">
        <v>46</v>
      </c>
      <c r="P17" s="52">
        <v>2</v>
      </c>
      <c r="R17" s="142" t="s">
        <v>218</v>
      </c>
    </row>
    <row r="18" spans="1:18" ht="19.5" thickBot="1">
      <c r="A18" s="1">
        <v>10</v>
      </c>
      <c r="B18" s="19" t="s">
        <v>82</v>
      </c>
      <c r="C18" s="19">
        <v>5</v>
      </c>
      <c r="D18" s="67" t="s">
        <v>44</v>
      </c>
      <c r="E18" s="28"/>
      <c r="F18" s="355">
        <v>23</v>
      </c>
      <c r="G18" s="19"/>
      <c r="H18" s="348" t="s">
        <v>101</v>
      </c>
      <c r="I18" s="349"/>
      <c r="L18" s="135">
        <f>VLOOKUP(M18,O16:P24,2,TRUE)</f>
        <v>2</v>
      </c>
      <c r="M18" s="74">
        <f>SUM(①基本情報!H18:H19)</f>
        <v>95</v>
      </c>
      <c r="O18" s="52">
        <v>151</v>
      </c>
      <c r="P18" s="52">
        <v>3</v>
      </c>
      <c r="R18" s="142" t="s">
        <v>219</v>
      </c>
    </row>
    <row r="19" spans="1:18" ht="19.5" thickBot="1">
      <c r="A19" s="1">
        <v>11</v>
      </c>
      <c r="B19" s="19" t="s">
        <v>82</v>
      </c>
      <c r="C19" s="353" t="s">
        <v>45</v>
      </c>
      <c r="D19" s="349"/>
      <c r="E19" s="28"/>
      <c r="F19" s="356"/>
      <c r="G19" s="19"/>
      <c r="H19" s="348" t="s">
        <v>102</v>
      </c>
      <c r="I19" s="349"/>
      <c r="O19" s="52">
        <v>241</v>
      </c>
      <c r="P19" s="52">
        <v>3.5</v>
      </c>
      <c r="R19" s="142" t="s">
        <v>220</v>
      </c>
    </row>
    <row r="20" spans="1:18" ht="19.5" thickBot="1">
      <c r="A20" s="1">
        <v>12</v>
      </c>
      <c r="B20" s="19" t="s">
        <v>82</v>
      </c>
      <c r="C20" s="143" t="s">
        <v>388</v>
      </c>
      <c r="D20" s="67" t="s">
        <v>46</v>
      </c>
      <c r="E20" s="28"/>
      <c r="F20" t="s">
        <v>58</v>
      </c>
      <c r="I20" s="29"/>
      <c r="O20" s="52">
        <v>271</v>
      </c>
      <c r="P20" s="52">
        <v>5</v>
      </c>
      <c r="R20" s="142" t="s">
        <v>221</v>
      </c>
    </row>
    <row r="21" spans="1:18" ht="19.5" thickBot="1">
      <c r="A21" s="1">
        <v>13</v>
      </c>
      <c r="B21" s="19"/>
      <c r="C21" s="354" t="s">
        <v>47</v>
      </c>
      <c r="D21" s="349"/>
      <c r="E21" s="28"/>
      <c r="F21" s="1">
        <v>24</v>
      </c>
      <c r="G21" s="19" t="s">
        <v>82</v>
      </c>
      <c r="H21" s="48" t="s">
        <v>333</v>
      </c>
      <c r="I21" s="68" t="str">
        <f>IF(K8=1,"療育支援加算","【適用不可】療育支援加算")</f>
        <v>療育支援加算</v>
      </c>
      <c r="O21" s="52">
        <v>301</v>
      </c>
      <c r="P21" s="52">
        <v>6</v>
      </c>
      <c r="R21" s="142" t="s">
        <v>222</v>
      </c>
    </row>
    <row r="22" spans="1:18" ht="18.75" customHeight="1" thickBot="1">
      <c r="A22" s="1">
        <v>14</v>
      </c>
      <c r="B22" s="19" t="s">
        <v>82</v>
      </c>
      <c r="C22" s="348" t="s">
        <v>48</v>
      </c>
      <c r="D22" s="349"/>
      <c r="E22" s="28"/>
      <c r="F22" s="1">
        <v>25</v>
      </c>
      <c r="G22" s="19" t="s">
        <v>82</v>
      </c>
      <c r="H22" s="354" t="str">
        <f>IF(K9=1,"事務職員配置加算","【適用不可】事務職員配置加算")</f>
        <v>事務職員配置加算</v>
      </c>
      <c r="I22" s="349"/>
      <c r="O22" s="52">
        <v>451</v>
      </c>
      <c r="P22" s="52">
        <v>8</v>
      </c>
      <c r="R22" s="142" t="s">
        <v>223</v>
      </c>
    </row>
    <row r="23" spans="1:18" ht="19.5" thickBot="1">
      <c r="A23" s="1">
        <v>15</v>
      </c>
      <c r="B23" s="19"/>
      <c r="C23" s="348" t="s">
        <v>49</v>
      </c>
      <c r="D23" s="349"/>
      <c r="F23" s="1">
        <v>26</v>
      </c>
      <c r="G23" s="19"/>
      <c r="H23" s="348" t="s">
        <v>59</v>
      </c>
      <c r="I23" s="349"/>
      <c r="R23" s="142" t="s">
        <v>224</v>
      </c>
    </row>
    <row r="24" spans="1:18" ht="19.5" thickBot="1">
      <c r="A24" s="268">
        <v>16</v>
      </c>
      <c r="B24" s="90" t="s">
        <v>82</v>
      </c>
      <c r="C24" s="348" t="s">
        <v>81</v>
      </c>
      <c r="D24" s="349"/>
      <c r="F24" s="1">
        <v>27</v>
      </c>
      <c r="G24" s="19"/>
      <c r="H24" s="348" t="s">
        <v>60</v>
      </c>
      <c r="I24" s="349"/>
      <c r="R24" s="142" t="s">
        <v>225</v>
      </c>
    </row>
    <row r="25" spans="1:18" ht="18.75" customHeight="1" thickBot="1">
      <c r="F25" s="1">
        <v>28</v>
      </c>
      <c r="G25" s="19" t="s">
        <v>82</v>
      </c>
      <c r="H25" s="348" t="s">
        <v>61</v>
      </c>
      <c r="I25" s="349"/>
      <c r="R25" s="142" t="s">
        <v>226</v>
      </c>
    </row>
    <row r="26" spans="1:18" ht="19.5" thickBot="1">
      <c r="F26" s="1">
        <v>29</v>
      </c>
      <c r="G26" s="90" t="s">
        <v>82</v>
      </c>
      <c r="H26" s="348" t="s">
        <v>62</v>
      </c>
      <c r="I26" s="349"/>
      <c r="R26" s="142" t="s">
        <v>227</v>
      </c>
    </row>
    <row r="27" spans="1:18" ht="19.5" thickBot="1">
      <c r="F27" s="1">
        <v>30</v>
      </c>
      <c r="G27" s="19"/>
      <c r="H27" s="348" t="s">
        <v>63</v>
      </c>
      <c r="I27" s="349"/>
      <c r="R27" s="142" t="s">
        <v>228</v>
      </c>
    </row>
    <row r="28" spans="1:18" ht="19.5" thickBot="1">
      <c r="F28" s="137">
        <v>31</v>
      </c>
      <c r="G28" s="138"/>
      <c r="H28" s="358" t="s">
        <v>64</v>
      </c>
      <c r="I28" s="359"/>
      <c r="R28" s="142" t="s">
        <v>229</v>
      </c>
    </row>
    <row r="29" spans="1:18" ht="19.5" thickBot="1">
      <c r="F29" s="137">
        <v>32</v>
      </c>
      <c r="G29" s="138"/>
      <c r="H29" s="358" t="s">
        <v>65</v>
      </c>
      <c r="I29" s="359"/>
      <c r="R29" s="142" t="s">
        <v>230</v>
      </c>
    </row>
    <row r="30" spans="1:18" ht="19.5" thickBot="1">
      <c r="F30" s="1">
        <v>33</v>
      </c>
      <c r="G30" s="19" t="s">
        <v>82</v>
      </c>
      <c r="H30" s="348" t="str">
        <f>IF(K11=1,"高齢者等活躍促進加算","【適用不可】高齢者等活躍促進加算")</f>
        <v>高齢者等活躍促進加算</v>
      </c>
      <c r="I30" s="349"/>
    </row>
    <row r="31" spans="1:18" ht="19.5" thickBot="1">
      <c r="F31" s="1">
        <v>34</v>
      </c>
      <c r="G31" s="19" t="s">
        <v>82</v>
      </c>
      <c r="H31" s="348" t="str">
        <f>IF(K10=1,"施設機能強化推進費加算","【適用不可】施設機能強化推進費加算")</f>
        <v>施設機能強化推進費加算</v>
      </c>
      <c r="I31" s="349"/>
    </row>
    <row r="32" spans="1:18" ht="19.5" thickBot="1">
      <c r="F32" s="1">
        <v>35</v>
      </c>
      <c r="G32" s="273" t="s">
        <v>389</v>
      </c>
      <c r="H32" s="348" t="s">
        <v>66</v>
      </c>
      <c r="I32" s="349"/>
    </row>
    <row r="33" spans="6:9" ht="19.5" thickBot="1">
      <c r="F33" s="1">
        <v>36</v>
      </c>
      <c r="G33" s="19" t="s">
        <v>82</v>
      </c>
      <c r="H33" s="91" t="s">
        <v>333</v>
      </c>
      <c r="I33" s="92" t="s">
        <v>168</v>
      </c>
    </row>
    <row r="34" spans="6:9" ht="19.5" thickBot="1">
      <c r="F34" s="1">
        <v>37</v>
      </c>
      <c r="G34" s="19"/>
      <c r="H34" s="348" t="s">
        <v>67</v>
      </c>
      <c r="I34" s="349"/>
    </row>
    <row r="35" spans="6:9" ht="19.5" thickBot="1">
      <c r="F35" s="1">
        <v>38</v>
      </c>
      <c r="G35" s="19" t="s">
        <v>82</v>
      </c>
      <c r="H35" s="348" t="s">
        <v>307</v>
      </c>
      <c r="I35" s="349"/>
    </row>
  </sheetData>
  <mergeCells count="41">
    <mergeCell ref="H35:I35"/>
    <mergeCell ref="M16:M17"/>
    <mergeCell ref="H32:I32"/>
    <mergeCell ref="H34:I34"/>
    <mergeCell ref="H23:I23"/>
    <mergeCell ref="H24:I24"/>
    <mergeCell ref="H26:I26"/>
    <mergeCell ref="H27:I27"/>
    <mergeCell ref="H28:I28"/>
    <mergeCell ref="H30:I30"/>
    <mergeCell ref="H25:I25"/>
    <mergeCell ref="H29:I29"/>
    <mergeCell ref="H31:I31"/>
    <mergeCell ref="F12:F13"/>
    <mergeCell ref="F18:F19"/>
    <mergeCell ref="H22:I22"/>
    <mergeCell ref="H19:I19"/>
    <mergeCell ref="H18:I18"/>
    <mergeCell ref="H16:I16"/>
    <mergeCell ref="H15:I15"/>
    <mergeCell ref="H14:I14"/>
    <mergeCell ref="H13:I13"/>
    <mergeCell ref="H12:I12"/>
    <mergeCell ref="C19:D19"/>
    <mergeCell ref="C21:D21"/>
    <mergeCell ref="C22:D22"/>
    <mergeCell ref="C23:D23"/>
    <mergeCell ref="C24:D24"/>
    <mergeCell ref="C11:D11"/>
    <mergeCell ref="C12:D12"/>
    <mergeCell ref="C13:D13"/>
    <mergeCell ref="C15:D15"/>
    <mergeCell ref="C17:D17"/>
    <mergeCell ref="C14:D14"/>
    <mergeCell ref="A6:G6"/>
    <mergeCell ref="A3:D3"/>
    <mergeCell ref="A1:I1"/>
    <mergeCell ref="C9:D9"/>
    <mergeCell ref="C10:D10"/>
    <mergeCell ref="H10:I10"/>
    <mergeCell ref="H9:I9"/>
  </mergeCells>
  <phoneticPr fontId="1"/>
  <dataValidations count="8">
    <dataValidation type="list" allowBlank="1" showInputMessage="1" showErrorMessage="1" sqref="G9:G16 B9:B24 G18:G19 G21:G31 G33:G35">
      <formula1>"〇"</formula1>
    </dataValidation>
    <dataValidation type="whole" allowBlank="1" showInputMessage="1" showErrorMessage="1" sqref="C18">
      <formula1>1</formula1>
      <formula2>10</formula2>
    </dataValidation>
    <dataValidation type="list" allowBlank="1" showInputMessage="1" showErrorMessage="1" sqref="H21">
      <formula1>"A,B"</formula1>
    </dataValidation>
    <dataValidation type="whole" allowBlank="1" showInputMessage="1" showErrorMessage="1" sqref="C16">
      <formula1>1</formula1>
      <formula2>2</formula2>
    </dataValidation>
    <dataValidation type="list" allowBlank="1" showInputMessage="1" showErrorMessage="1" sqref="H33">
      <formula1>"A,B,C"</formula1>
    </dataValidation>
    <dataValidation type="list" allowBlank="1" showInputMessage="1" showErrorMessage="1" sqref="H11">
      <formula1>"1日,2日,3日,全日"</formula1>
    </dataValidation>
    <dataValidation type="list" allowBlank="1" showInputMessage="1" showErrorMessage="1" sqref="C20">
      <formula1>$R$16:$R$29</formula1>
    </dataValidation>
    <dataValidation type="list" allowBlank="1" showInputMessage="1" showErrorMessage="1" sqref="G32">
      <formula1>"Ⅰ～Ⅱ,Ⅰ～Ⅲ,"</formula1>
    </dataValidation>
  </dataValidations>
  <pageMargins left="0.7" right="0.7" top="0.75" bottom="0.75" header="0.3" footer="0.3"/>
  <pageSetup paperSize="9" scale="97"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5"/>
  <sheetViews>
    <sheetView view="pageBreakPreview" zoomScale="130" zoomScaleNormal="130" zoomScaleSheetLayoutView="130" workbookViewId="0">
      <selection activeCell="M12" sqref="M12"/>
    </sheetView>
  </sheetViews>
  <sheetFormatPr defaultRowHeight="18.75"/>
  <cols>
    <col min="1" max="1" width="0.625" customWidth="1"/>
    <col min="2" max="3" width="3.375" style="49" customWidth="1"/>
    <col min="4" max="4" width="8.125" style="49" customWidth="1"/>
    <col min="5" max="5" width="1.75" customWidth="1"/>
    <col min="6" max="7" width="3.375" style="49" customWidth="1"/>
    <col min="8" max="8" width="8.125" style="49" customWidth="1"/>
    <col min="9" max="9" width="0.625" customWidth="1"/>
    <col min="10" max="10" width="3" customWidth="1"/>
    <col min="15" max="15" width="9" customWidth="1"/>
    <col min="16" max="16" width="3.25" customWidth="1"/>
  </cols>
  <sheetData>
    <row r="1" spans="1:16" ht="24">
      <c r="B1" s="311" t="s">
        <v>170</v>
      </c>
      <c r="C1" s="311"/>
      <c r="D1" s="311"/>
      <c r="E1" s="311"/>
      <c r="F1" s="311"/>
      <c r="G1" s="311"/>
      <c r="H1" s="311"/>
      <c r="I1" s="311"/>
      <c r="J1" s="311"/>
      <c r="K1" s="311"/>
      <c r="L1" s="311"/>
      <c r="M1" s="311"/>
      <c r="N1" s="311"/>
      <c r="O1" s="4"/>
    </row>
    <row r="2" spans="1:16" s="4" customFormat="1" ht="18.75" customHeight="1">
      <c r="B2" s="75"/>
      <c r="C2" s="75"/>
      <c r="D2" s="75"/>
      <c r="F2" s="75"/>
      <c r="G2" s="75"/>
      <c r="H2" s="75"/>
      <c r="O2" s="385">
        <f>改修履歴!A1</f>
        <v>1</v>
      </c>
      <c r="P2" s="385"/>
    </row>
    <row r="3" spans="1:16" s="4" customFormat="1" ht="19.5" customHeight="1" thickBot="1">
      <c r="B3" s="383" t="s">
        <v>38</v>
      </c>
      <c r="C3" s="383"/>
      <c r="D3" s="383"/>
      <c r="E3" s="383"/>
      <c r="F3" s="383"/>
      <c r="N3" s="384" t="s">
        <v>243</v>
      </c>
      <c r="O3" s="384"/>
    </row>
    <row r="4" spans="1:16" s="4" customFormat="1" ht="19.5" customHeight="1" thickBot="1">
      <c r="B4" s="376" t="str">
        <f>①基本情報!A7</f>
        <v>記載例認定こども園</v>
      </c>
      <c r="C4" s="377"/>
      <c r="D4" s="377"/>
      <c r="E4" s="377"/>
      <c r="F4" s="377"/>
      <c r="G4" s="377"/>
      <c r="H4" s="377"/>
      <c r="I4" s="377"/>
      <c r="J4" s="377"/>
      <c r="K4" s="378"/>
      <c r="L4" s="127"/>
      <c r="M4" s="93"/>
      <c r="N4" s="374">
        <f>①基本情報!A4</f>
        <v>45383</v>
      </c>
      <c r="O4" s="375"/>
    </row>
    <row r="5" spans="1:16" s="4" customFormat="1" ht="15.75">
      <c r="B5" s="75"/>
      <c r="C5" s="75"/>
      <c r="D5" s="75"/>
      <c r="F5" s="75"/>
      <c r="G5" s="75"/>
      <c r="H5" s="75"/>
    </row>
    <row r="6" spans="1:16" s="4" customFormat="1" ht="16.5" thickBot="1">
      <c r="B6" s="75"/>
      <c r="C6" s="75"/>
      <c r="D6" s="75"/>
      <c r="F6" s="75"/>
      <c r="G6" s="75"/>
      <c r="H6" s="75"/>
    </row>
    <row r="7" spans="1:16" s="4" customFormat="1" ht="16.5" thickBot="1">
      <c r="A7" s="379" t="s">
        <v>136</v>
      </c>
      <c r="B7" s="380"/>
      <c r="C7" s="380"/>
      <c r="D7" s="380"/>
      <c r="E7" s="380"/>
      <c r="F7" s="380"/>
      <c r="G7" s="380"/>
      <c r="H7" s="380"/>
      <c r="I7" s="381"/>
      <c r="K7" s="373" t="s">
        <v>203</v>
      </c>
      <c r="L7" s="373"/>
      <c r="M7" s="373"/>
      <c r="N7" s="373"/>
      <c r="O7" s="373"/>
    </row>
    <row r="8" spans="1:16" s="4" customFormat="1" ht="17.25" thickBot="1">
      <c r="A8" s="97"/>
      <c r="B8" s="96" t="s">
        <v>123</v>
      </c>
      <c r="C8" s="10"/>
      <c r="D8" s="10"/>
      <c r="E8" s="93"/>
      <c r="F8" s="96" t="s">
        <v>124</v>
      </c>
      <c r="G8" s="10"/>
      <c r="H8" s="10"/>
      <c r="I8" s="98"/>
      <c r="K8" s="382" t="str">
        <f>"常勤 "&amp;③職員名簿!AB39&amp;" 人+ 非常勤常勤換算 "&amp;③職員名簿!AD40&amp;"人"</f>
        <v>常勤 17 人+ 非常勤常勤換算 2.7人</v>
      </c>
      <c r="L8" s="382"/>
      <c r="M8" s="382"/>
      <c r="N8" s="117" t="s">
        <v>144</v>
      </c>
      <c r="O8" s="85">
        <f>③職員名簿!AB39+③職員名簿!AD40</f>
        <v>19.7</v>
      </c>
      <c r="P8" s="4" t="s">
        <v>132</v>
      </c>
    </row>
    <row r="9" spans="1:16" s="4" customFormat="1" ht="15.75">
      <c r="A9" s="97"/>
      <c r="B9" s="77" t="str">
        <f>IF(①基本情報!H4="","",①基本情報!H4)</f>
        <v>〇</v>
      </c>
      <c r="C9" s="89">
        <v>1</v>
      </c>
      <c r="D9" s="89" t="s">
        <v>165</v>
      </c>
      <c r="E9" s="93"/>
      <c r="F9" s="77" t="str">
        <f>IF(①基本情報!H10="","",①基本情報!H10)</f>
        <v>〇</v>
      </c>
      <c r="G9" s="89">
        <v>1</v>
      </c>
      <c r="H9" s="89" t="s">
        <v>167</v>
      </c>
      <c r="I9" s="98"/>
      <c r="O9" s="4" t="str">
        <f>IF(O8-M18&lt;=0,"NG","")</f>
        <v/>
      </c>
    </row>
    <row r="10" spans="1:16" s="4" customFormat="1" ht="15.75">
      <c r="A10" s="97"/>
      <c r="B10" s="77" t="str">
        <f>IF(①基本情報!H5="","",①基本情報!H5)</f>
        <v/>
      </c>
      <c r="C10" s="89">
        <v>2</v>
      </c>
      <c r="D10" s="89" t="s">
        <v>126</v>
      </c>
      <c r="E10" s="93"/>
      <c r="F10" s="77" t="str">
        <f>IF(①基本情報!H11="-","",①基本情報!H11)</f>
        <v/>
      </c>
      <c r="G10" s="89">
        <v>2</v>
      </c>
      <c r="H10" s="89" t="s">
        <v>128</v>
      </c>
      <c r="I10" s="98"/>
      <c r="K10" s="372" t="s">
        <v>130</v>
      </c>
      <c r="L10" s="372"/>
      <c r="M10" s="372"/>
      <c r="N10" s="124"/>
    </row>
    <row r="11" spans="1:16" s="4" customFormat="1" ht="15.75">
      <c r="A11" s="97"/>
      <c r="B11" s="77" t="str">
        <f>IF(①基本情報!H6="","",①基本情報!H6)</f>
        <v/>
      </c>
      <c r="C11" s="89">
        <v>3</v>
      </c>
      <c r="D11" s="89" t="s">
        <v>125</v>
      </c>
      <c r="E11" s="93"/>
      <c r="F11" s="77" t="str">
        <f>IF(①基本情報!H12="","",①基本情報!H12)</f>
        <v/>
      </c>
      <c r="G11" s="89">
        <v>3</v>
      </c>
      <c r="H11" s="89" t="s">
        <v>166</v>
      </c>
      <c r="I11" s="98"/>
      <c r="K11" s="51"/>
      <c r="L11" s="51" t="s">
        <v>76</v>
      </c>
      <c r="M11" s="51" t="s">
        <v>77</v>
      </c>
    </row>
    <row r="12" spans="1:16" s="4" customFormat="1" ht="15.75" customHeight="1">
      <c r="A12" s="97"/>
      <c r="B12" s="77" t="str">
        <f>IF(①基本情報!H7="","",①基本情報!H7)</f>
        <v>〇</v>
      </c>
      <c r="C12" s="89">
        <v>4</v>
      </c>
      <c r="D12" s="89" t="s">
        <v>127</v>
      </c>
      <c r="E12" s="93"/>
      <c r="F12" s="77" t="str">
        <f>IF(①基本情報!H13="","",①基本情報!H13)</f>
        <v>〇</v>
      </c>
      <c r="G12" s="89">
        <v>4</v>
      </c>
      <c r="H12" s="89" t="s">
        <v>129</v>
      </c>
      <c r="I12" s="98"/>
      <c r="K12" s="51" t="s">
        <v>74</v>
      </c>
      <c r="L12" s="11">
        <f>②児童名簿!J13</f>
        <v>6</v>
      </c>
      <c r="M12" s="78">
        <f>ROUNDDOWN(L12/3,1)</f>
        <v>2</v>
      </c>
    </row>
    <row r="13" spans="1:16" s="4" customFormat="1" ht="15.75">
      <c r="A13" s="97"/>
      <c r="B13" s="77" t="str">
        <f>IF(①基本情報!H8="","",①基本情報!H8)</f>
        <v/>
      </c>
      <c r="C13" s="119">
        <v>5</v>
      </c>
      <c r="D13" s="119" t="s">
        <v>177</v>
      </c>
      <c r="E13" s="95"/>
      <c r="F13" s="77" t="str">
        <f>IF(①基本情報!H14="-","",①基本情報!H14)</f>
        <v>〇</v>
      </c>
      <c r="G13" s="89">
        <v>5</v>
      </c>
      <c r="H13" s="89" t="s">
        <v>127</v>
      </c>
      <c r="I13" s="98"/>
      <c r="K13" s="51" t="s">
        <v>79</v>
      </c>
      <c r="L13" s="11">
        <f>②児童名簿!K13+②児童名簿!L13</f>
        <v>24</v>
      </c>
      <c r="M13" s="78">
        <f>ROUNDDOWN(L13/6,1)</f>
        <v>4</v>
      </c>
    </row>
    <row r="14" spans="1:16" s="4" customFormat="1" ht="15.75">
      <c r="A14" s="97"/>
      <c r="B14" s="77" t="str">
        <f>IF(①基本情報!H9="","",①基本情報!H9)</f>
        <v>〇</v>
      </c>
      <c r="C14" s="272">
        <v>6</v>
      </c>
      <c r="D14" s="272" t="s">
        <v>320</v>
      </c>
      <c r="E14" s="95"/>
      <c r="F14" s="80"/>
      <c r="G14" s="10" t="str">
        <f>IF(H14&gt;=2,"OK","")</f>
        <v>OK</v>
      </c>
      <c r="H14" s="81">
        <f>①基本情報!L3</f>
        <v>3</v>
      </c>
      <c r="I14" s="98"/>
      <c r="K14" s="51" t="s">
        <v>75</v>
      </c>
      <c r="L14" s="11">
        <f>②児童名簿!M13</f>
        <v>29</v>
      </c>
      <c r="M14" s="78">
        <f>IF(B22="〇",ROUNDDOWN(L14/15,1),ROUNDDOWN(L14/20,1))</f>
        <v>1.9</v>
      </c>
      <c r="N14" s="123"/>
    </row>
    <row r="15" spans="1:16" s="4" customFormat="1" ht="16.5" thickBot="1">
      <c r="A15" s="99"/>
      <c r="B15" s="100"/>
      <c r="C15" s="100" t="str">
        <f>IF(D15&gt;=2,"OK","")</f>
        <v>OK</v>
      </c>
      <c r="D15" s="101">
        <f>①基本情報!L2</f>
        <v>3</v>
      </c>
      <c r="E15" s="102"/>
      <c r="F15" s="103"/>
      <c r="G15" s="100"/>
      <c r="H15" s="104"/>
      <c r="I15" s="105"/>
      <c r="K15" s="51" t="s">
        <v>80</v>
      </c>
      <c r="L15" s="11">
        <f>②児童名簿!N13+②児童名簿!O13</f>
        <v>62</v>
      </c>
      <c r="M15" s="82">
        <f>IF(B24="〇",ROUNDDOWN(L15/25,1),ROUNDDOWN(L15/30,1))</f>
        <v>2</v>
      </c>
      <c r="N15" s="123"/>
    </row>
    <row r="16" spans="1:16" s="4" customFormat="1" ht="20.25" thickBot="1">
      <c r="B16" s="10"/>
      <c r="C16" s="10"/>
      <c r="D16" s="94"/>
      <c r="E16" s="95"/>
      <c r="F16" s="80"/>
      <c r="G16" s="80"/>
      <c r="H16" s="81"/>
      <c r="K16" s="263" t="str">
        <f>IF(④加算!B12="〇","※３歳児配置改善加算適用")</f>
        <v>※３歳児配置改善加算適用</v>
      </c>
      <c r="L16" s="79" t="s">
        <v>78</v>
      </c>
      <c r="M16" s="84">
        <f>SUM(M12:M15)</f>
        <v>9.9</v>
      </c>
      <c r="N16" s="122"/>
      <c r="O16" s="93"/>
    </row>
    <row r="17" spans="1:16" s="4" customFormat="1" ht="19.5" customHeight="1" thickBot="1">
      <c r="A17" s="364" t="s">
        <v>131</v>
      </c>
      <c r="B17" s="365"/>
      <c r="C17" s="365"/>
      <c r="D17" s="365"/>
      <c r="E17" s="365"/>
      <c r="F17" s="365"/>
      <c r="G17" s="365"/>
      <c r="H17" s="365"/>
      <c r="I17" s="366"/>
      <c r="K17" s="264" t="b">
        <f>IF(④加算!B14="〇","※4歳以上児配置改善加算適用")</f>
        <v>0</v>
      </c>
    </row>
    <row r="18" spans="1:16" s="4" customFormat="1" ht="16.5" thickBot="1">
      <c r="A18" s="97"/>
      <c r="B18" s="96" t="s">
        <v>68</v>
      </c>
      <c r="C18" s="10"/>
      <c r="D18" s="10"/>
      <c r="E18" s="83"/>
      <c r="F18" s="96" t="s">
        <v>50</v>
      </c>
      <c r="G18" s="10"/>
      <c r="H18" s="10"/>
      <c r="I18" s="98"/>
      <c r="M18" s="84">
        <f>ROUND(M16,0)</f>
        <v>10</v>
      </c>
      <c r="N18" s="4" t="s">
        <v>132</v>
      </c>
      <c r="O18" s="84">
        <f>O8-M18</f>
        <v>9.6999999999999993</v>
      </c>
      <c r="P18" s="4" t="s">
        <v>132</v>
      </c>
    </row>
    <row r="19" spans="1:16" s="4" customFormat="1" ht="15.75">
      <c r="A19" s="97"/>
      <c r="B19" s="77" t="str">
        <f>IF(④加算!B9="","",④加算!B9)</f>
        <v>〇</v>
      </c>
      <c r="C19" s="89">
        <v>1</v>
      </c>
      <c r="D19" s="89" t="s">
        <v>107</v>
      </c>
      <c r="E19" s="83"/>
      <c r="F19" s="77" t="str">
        <f>IF(④加算!G9="","",④加算!G9)</f>
        <v/>
      </c>
      <c r="G19" s="89">
        <v>16</v>
      </c>
      <c r="H19" s="89" t="s">
        <v>154</v>
      </c>
      <c r="I19" s="98"/>
    </row>
    <row r="20" spans="1:16" s="4" customFormat="1" ht="15.75">
      <c r="A20" s="97"/>
      <c r="B20" s="77" t="str">
        <f>IF(④加算!B10="","",④加算!B10)</f>
        <v>〇</v>
      </c>
      <c r="C20" s="89">
        <v>2</v>
      </c>
      <c r="D20" s="89" t="s">
        <v>103</v>
      </c>
      <c r="E20" s="83"/>
      <c r="F20" s="77" t="str">
        <f>IF(④加算!G10="","",④加算!G10)</f>
        <v/>
      </c>
      <c r="G20" s="89">
        <v>17</v>
      </c>
      <c r="H20" s="89" t="s">
        <v>112</v>
      </c>
      <c r="I20" s="98"/>
      <c r="K20" s="371" t="s">
        <v>206</v>
      </c>
      <c r="L20" s="371"/>
      <c r="M20" s="140" t="str">
        <f>IF(O18&gt;=0,"満たしている","満たしていない")</f>
        <v>満たしている</v>
      </c>
    </row>
    <row r="21" spans="1:16" s="4" customFormat="1" ht="15.75">
      <c r="A21" s="97"/>
      <c r="B21" s="77" t="str">
        <f>IF(④加算!B11="","",④加算!B11)</f>
        <v>〇</v>
      </c>
      <c r="C21" s="89">
        <v>3</v>
      </c>
      <c r="D21" s="89" t="s">
        <v>108</v>
      </c>
      <c r="E21" s="83"/>
      <c r="F21" s="77" t="str">
        <f>IF(④加算!G11="","",④加算!H11)</f>
        <v/>
      </c>
      <c r="G21" s="89">
        <v>18</v>
      </c>
      <c r="H21" s="89" t="s">
        <v>155</v>
      </c>
      <c r="I21" s="98"/>
    </row>
    <row r="22" spans="1:16" s="4" customFormat="1" ht="15.75">
      <c r="A22" s="97"/>
      <c r="B22" s="77" t="str">
        <f>IF(④加算!B12="","",④加算!B12)</f>
        <v>〇</v>
      </c>
      <c r="C22" s="89">
        <v>4</v>
      </c>
      <c r="D22" s="89" t="s">
        <v>156</v>
      </c>
      <c r="E22" s="83"/>
      <c r="F22" s="77" t="str">
        <f>IF(④加算!G12="","",④加算!G12)</f>
        <v/>
      </c>
      <c r="G22" s="360">
        <v>19</v>
      </c>
      <c r="H22" s="89" t="s">
        <v>113</v>
      </c>
      <c r="I22" s="98"/>
      <c r="K22" s="369" t="s">
        <v>204</v>
      </c>
      <c r="L22" s="370"/>
      <c r="M22" s="370"/>
    </row>
    <row r="23" spans="1:16" s="4" customFormat="1" ht="16.5" thickBot="1">
      <c r="A23" s="97"/>
      <c r="B23" s="77" t="str">
        <f>IF(④加算!B13="","",④加算!B13)</f>
        <v/>
      </c>
      <c r="C23" s="89">
        <v>5</v>
      </c>
      <c r="D23" s="89" t="s">
        <v>157</v>
      </c>
      <c r="E23" s="83"/>
      <c r="F23" s="77" t="str">
        <f>IF(④加算!G13="","",④加算!G13)</f>
        <v/>
      </c>
      <c r="G23" s="360"/>
      <c r="H23" s="89" t="s">
        <v>114</v>
      </c>
      <c r="I23" s="98"/>
      <c r="K23" s="368" t="s">
        <v>178</v>
      </c>
      <c r="L23" s="368"/>
      <c r="M23" s="121">
        <f>IF(B9="〇",1,0)</f>
        <v>1</v>
      </c>
      <c r="N23" s="4" t="s">
        <v>132</v>
      </c>
    </row>
    <row r="24" spans="1:16" s="4" customFormat="1" ht="16.5" customHeight="1" thickBot="1">
      <c r="A24" s="97"/>
      <c r="B24" s="77" t="str">
        <f>IF(④加算!B14="","",④加算!B14)</f>
        <v/>
      </c>
      <c r="C24" s="89">
        <v>6</v>
      </c>
      <c r="D24" s="262" t="s">
        <v>313</v>
      </c>
      <c r="E24" s="83"/>
      <c r="F24" s="77" t="str">
        <f>IF(④加算!G14="","",④加算!G14)</f>
        <v/>
      </c>
      <c r="G24" s="89">
        <v>20</v>
      </c>
      <c r="H24" s="89" t="s">
        <v>115</v>
      </c>
      <c r="I24" s="98"/>
      <c r="K24" s="368" t="s">
        <v>179</v>
      </c>
      <c r="L24" s="368"/>
      <c r="M24" s="261">
        <f>IF(B10="〇",1,0)</f>
        <v>0</v>
      </c>
      <c r="N24" s="4" t="s">
        <v>132</v>
      </c>
      <c r="O24" s="84">
        <f>O18-(M23+M24)</f>
        <v>8.6999999999999993</v>
      </c>
      <c r="P24" s="4" t="s">
        <v>132</v>
      </c>
    </row>
    <row r="25" spans="1:16" s="4" customFormat="1" ht="15.75">
      <c r="A25" s="97"/>
      <c r="B25" s="77" t="str">
        <f>IF(④加算!B15="","",④加算!B15)</f>
        <v>〇</v>
      </c>
      <c r="C25" s="89">
        <v>7</v>
      </c>
      <c r="D25" s="89" t="s">
        <v>158</v>
      </c>
      <c r="E25" s="83"/>
      <c r="F25" s="77" t="str">
        <f>IF(④加算!G15="","",④加算!G15)</f>
        <v/>
      </c>
      <c r="G25" s="89">
        <v>21</v>
      </c>
      <c r="H25" s="89" t="s">
        <v>116</v>
      </c>
      <c r="I25" s="98"/>
    </row>
    <row r="26" spans="1:16" s="4" customFormat="1" ht="16.5" thickBot="1">
      <c r="A26" s="97"/>
      <c r="B26" s="77">
        <f>IF(④加算!B16="","",④加算!C16)</f>
        <v>2</v>
      </c>
      <c r="C26" s="89">
        <v>8</v>
      </c>
      <c r="D26" s="89" t="s">
        <v>109</v>
      </c>
      <c r="E26" s="83"/>
      <c r="F26" s="77" t="str">
        <f>IF(④加算!G16="","",④加算!G16)</f>
        <v/>
      </c>
      <c r="G26" s="89">
        <v>22</v>
      </c>
      <c r="H26" s="89" t="s">
        <v>117</v>
      </c>
      <c r="I26" s="98"/>
      <c r="K26" s="367" t="str">
        <f>"２・３号利用定員＝ "&amp;SUM(①基本情報!H19:H20)&amp;" 人"</f>
        <v>２・３号利用定員＝ 110 人</v>
      </c>
      <c r="L26" s="367"/>
      <c r="M26" s="367"/>
    </row>
    <row r="27" spans="1:16" s="4" customFormat="1" ht="16.5" thickBot="1">
      <c r="A27" s="97"/>
      <c r="B27" s="77" t="str">
        <f>IF(④加算!B17="","",④加算!B17)</f>
        <v>〇</v>
      </c>
      <c r="C27" s="89">
        <v>9</v>
      </c>
      <c r="D27" s="89" t="s">
        <v>159</v>
      </c>
      <c r="E27" s="83"/>
      <c r="F27" s="96" t="s">
        <v>57</v>
      </c>
      <c r="G27" s="10"/>
      <c r="H27" s="10"/>
      <c r="I27" s="98"/>
      <c r="K27" s="360" t="s">
        <v>171</v>
      </c>
      <c r="L27" s="360"/>
      <c r="M27" s="77">
        <f>IF(SUM(①基本情報!H19:H20)&lt;=90,1,0)</f>
        <v>0</v>
      </c>
      <c r="N27" s="4" t="s">
        <v>132</v>
      </c>
      <c r="O27" s="84">
        <f>O24-M27</f>
        <v>8.6999999999999993</v>
      </c>
      <c r="P27" s="4" t="s">
        <v>132</v>
      </c>
    </row>
    <row r="28" spans="1:16" s="4" customFormat="1" ht="15.75">
      <c r="A28" s="97"/>
      <c r="B28" s="77" t="str">
        <f>IF(④加算!B18="","",④加算!B18)</f>
        <v>〇</v>
      </c>
      <c r="C28" s="89">
        <v>10</v>
      </c>
      <c r="D28" s="89" t="s">
        <v>110</v>
      </c>
      <c r="E28" s="83"/>
      <c r="F28" s="77" t="str">
        <f>IF(④加算!G18="","",④加算!G18)</f>
        <v/>
      </c>
      <c r="G28" s="360">
        <v>23</v>
      </c>
      <c r="H28" s="89" t="s">
        <v>137</v>
      </c>
      <c r="I28" s="98"/>
      <c r="M28" s="131" t="str">
        <f>IF(M27=0,"（91人以上＝０）","（90人以下＝１）")</f>
        <v>（91人以上＝０）</v>
      </c>
    </row>
    <row r="29" spans="1:16" s="4" customFormat="1" ht="16.5" thickBot="1">
      <c r="A29" s="97"/>
      <c r="B29" s="77" t="str">
        <f>IF(④加算!B19="","",④加算!B19)</f>
        <v>〇</v>
      </c>
      <c r="C29" s="89">
        <v>11</v>
      </c>
      <c r="D29" s="89" t="s">
        <v>160</v>
      </c>
      <c r="E29" s="83"/>
      <c r="F29" s="77" t="str">
        <f>IF(④加算!G19="","",④加算!G19)</f>
        <v/>
      </c>
      <c r="G29" s="360"/>
      <c r="H29" s="89" t="s">
        <v>138</v>
      </c>
      <c r="I29" s="98"/>
      <c r="M29" s="131"/>
    </row>
    <row r="30" spans="1:16" s="4" customFormat="1" ht="16.5" thickBot="1">
      <c r="A30" s="97"/>
      <c r="B30" s="269" t="str">
        <f>IF(④加算!B20="","",④加算!C20)</f>
        <v>~210</v>
      </c>
      <c r="C30" s="89">
        <v>12</v>
      </c>
      <c r="D30" s="89" t="s">
        <v>161</v>
      </c>
      <c r="E30" s="83"/>
      <c r="F30" s="96" t="s">
        <v>58</v>
      </c>
      <c r="G30" s="10"/>
      <c r="H30" s="10"/>
      <c r="I30" s="98"/>
      <c r="K30" s="360" t="s">
        <v>172</v>
      </c>
      <c r="L30" s="360"/>
      <c r="M30" s="77">
        <v>1</v>
      </c>
      <c r="N30" s="4" t="s">
        <v>132</v>
      </c>
      <c r="O30" s="84">
        <f>O27-M30</f>
        <v>7.6999999999999993</v>
      </c>
      <c r="P30" s="4" t="s">
        <v>132</v>
      </c>
    </row>
    <row r="31" spans="1:16" s="4" customFormat="1" ht="15.75">
      <c r="A31" s="97"/>
      <c r="B31" s="77" t="str">
        <f>IF(④加算!B21="","",④加算!B21)</f>
        <v/>
      </c>
      <c r="C31" s="89">
        <v>13</v>
      </c>
      <c r="D31" s="89" t="s">
        <v>162</v>
      </c>
      <c r="E31" s="83"/>
      <c r="F31" s="77" t="str">
        <f>IF(④加算!G21="","",④加算!H21)</f>
        <v>A</v>
      </c>
      <c r="G31" s="89">
        <v>24</v>
      </c>
      <c r="H31" s="89" t="s">
        <v>118</v>
      </c>
      <c r="I31" s="98"/>
    </row>
    <row r="32" spans="1:16" s="4" customFormat="1" ht="15" customHeight="1">
      <c r="A32" s="97"/>
      <c r="B32" s="77" t="str">
        <f>IF(④加算!B22="","",④加算!B22)</f>
        <v>〇</v>
      </c>
      <c r="C32" s="89">
        <v>14</v>
      </c>
      <c r="D32" s="89" t="s">
        <v>163</v>
      </c>
      <c r="E32" s="83"/>
      <c r="F32" s="77" t="str">
        <f>IF(④加算!G22="","",④加算!G22)</f>
        <v>〇</v>
      </c>
      <c r="G32" s="89">
        <v>25</v>
      </c>
      <c r="H32" s="89" t="s">
        <v>149</v>
      </c>
      <c r="I32" s="98"/>
    </row>
    <row r="33" spans="1:17" s="4" customFormat="1" ht="15.75">
      <c r="A33" s="97"/>
      <c r="B33" s="77" t="str">
        <f>IF(④加算!B23="","",④加算!B23)</f>
        <v/>
      </c>
      <c r="C33" s="89">
        <v>15</v>
      </c>
      <c r="D33" s="89" t="s">
        <v>111</v>
      </c>
      <c r="E33" s="93"/>
      <c r="F33" s="77" t="str">
        <f>IF(④加算!G23="","",④加算!G23)</f>
        <v/>
      </c>
      <c r="G33" s="89">
        <v>26</v>
      </c>
      <c r="H33" s="89" t="s">
        <v>150</v>
      </c>
      <c r="I33" s="98"/>
      <c r="K33" s="363"/>
      <c r="L33" s="363"/>
      <c r="M33" s="140" t="str">
        <f>IF(O30&gt;=0,"満たしている","満たしていない")</f>
        <v>満たしている</v>
      </c>
    </row>
    <row r="34" spans="1:17" s="4" customFormat="1" ht="16.5" thickBot="1">
      <c r="A34" s="97"/>
      <c r="B34" s="77" t="str">
        <f>IF(④加算!B24="","",④加算!B24)</f>
        <v>〇</v>
      </c>
      <c r="C34" s="262">
        <v>16</v>
      </c>
      <c r="D34" s="89" t="s">
        <v>164</v>
      </c>
      <c r="E34" s="93"/>
      <c r="F34" s="77" t="str">
        <f>IF(④加算!G24="","",④加算!G24)</f>
        <v/>
      </c>
      <c r="G34" s="89">
        <v>27</v>
      </c>
      <c r="H34" s="89" t="s">
        <v>151</v>
      </c>
      <c r="I34" s="98"/>
    </row>
    <row r="35" spans="1:17" s="4" customFormat="1" ht="16.5" thickBot="1">
      <c r="A35" s="97"/>
      <c r="B35" s="10"/>
      <c r="C35" s="10"/>
      <c r="D35" s="10"/>
      <c r="E35" s="93"/>
      <c r="F35" s="77" t="str">
        <f>IF(④加算!G25="","",④加算!G25)</f>
        <v>〇</v>
      </c>
      <c r="G35" s="89">
        <v>28</v>
      </c>
      <c r="H35" s="89" t="s">
        <v>119</v>
      </c>
      <c r="I35" s="98"/>
      <c r="K35" s="327" t="s">
        <v>180</v>
      </c>
      <c r="L35" s="327"/>
      <c r="M35" s="121">
        <f>IF(B21="〇",1,0)</f>
        <v>1</v>
      </c>
      <c r="N35" s="4" t="s">
        <v>132</v>
      </c>
      <c r="O35" s="84">
        <f>O30-M35</f>
        <v>6.6999999999999993</v>
      </c>
      <c r="P35" s="4" t="s">
        <v>132</v>
      </c>
      <c r="Q35" s="155">
        <f>O35-ROUNDDOWN(O35,0)</f>
        <v>0.69999999999999929</v>
      </c>
    </row>
    <row r="36" spans="1:17" s="4" customFormat="1" ht="16.5" thickBot="1">
      <c r="A36" s="97"/>
      <c r="B36" s="10"/>
      <c r="C36" s="10"/>
      <c r="D36" s="10"/>
      <c r="E36" s="93"/>
      <c r="F36" s="77" t="str">
        <f>IF(④加算!G26="","",④加算!G26)</f>
        <v>〇</v>
      </c>
      <c r="G36" s="89">
        <v>29</v>
      </c>
      <c r="H36" s="89" t="s">
        <v>120</v>
      </c>
      <c r="I36" s="98"/>
      <c r="K36" s="132"/>
      <c r="L36" s="132"/>
      <c r="M36" s="132"/>
      <c r="Q36" s="75">
        <f>IF(Q35&gt;=0.5,1,IF(Q35&gt;=0.3,0.5,0))</f>
        <v>1</v>
      </c>
    </row>
    <row r="37" spans="1:17" s="4" customFormat="1" ht="16.5" thickBot="1">
      <c r="A37" s="97"/>
      <c r="B37" s="10"/>
      <c r="C37" s="10"/>
      <c r="D37" s="10"/>
      <c r="E37" s="93"/>
      <c r="F37" s="77" t="str">
        <f>IF(④加算!G27="","",④加算!G27)</f>
        <v/>
      </c>
      <c r="G37" s="89">
        <v>30</v>
      </c>
      <c r="H37" s="89" t="s">
        <v>148</v>
      </c>
      <c r="I37" s="98"/>
      <c r="K37" s="361" t="str">
        <f>"１・２号利用定員(３歳児以上)＝ "&amp;④加算!M18&amp;" 人"</f>
        <v>１・２号利用定員(３歳児以上)＝ 95 人</v>
      </c>
      <c r="L37" s="361"/>
      <c r="M37" s="361"/>
      <c r="O37" s="84">
        <f>ROUNDDOWN(O35,0)+Q36</f>
        <v>7</v>
      </c>
      <c r="P37" s="4" t="s">
        <v>132</v>
      </c>
      <c r="Q37" s="154" t="str">
        <f>IF(Q36=1,"切上げ",IF(Q36=0.5,"半切上げ","切捨て"))</f>
        <v>切上げ</v>
      </c>
    </row>
    <row r="38" spans="1:17" s="4" customFormat="1" ht="15.75">
      <c r="A38" s="97"/>
      <c r="B38" s="10"/>
      <c r="C38" s="10"/>
      <c r="D38" s="10"/>
      <c r="E38" s="93"/>
      <c r="F38" s="139" t="str">
        <f>IF(④加算!G28="","",④加算!G28)</f>
        <v/>
      </c>
      <c r="G38" s="139">
        <v>31</v>
      </c>
      <c r="H38" s="139" t="s">
        <v>121</v>
      </c>
      <c r="I38" s="98"/>
      <c r="K38" s="327" t="s">
        <v>174</v>
      </c>
      <c r="L38" s="327"/>
      <c r="M38" s="5">
        <f>④加算!L18</f>
        <v>2</v>
      </c>
      <c r="N38" s="4" t="s">
        <v>132</v>
      </c>
      <c r="O38" s="156" t="s">
        <v>252</v>
      </c>
    </row>
    <row r="39" spans="1:17" s="4" customFormat="1" ht="15.75">
      <c r="A39" s="97"/>
      <c r="B39" s="10"/>
      <c r="C39" s="10"/>
      <c r="D39" s="10"/>
      <c r="E39" s="93"/>
      <c r="F39" s="139" t="str">
        <f>IF(④加算!G29="","",④加算!G29)</f>
        <v/>
      </c>
      <c r="G39" s="139">
        <v>32</v>
      </c>
      <c r="H39" s="139" t="s">
        <v>122</v>
      </c>
      <c r="I39" s="98"/>
      <c r="L39" s="362" t="str">
        <f>"　　　"&amp;M38&amp;"人以下？"</f>
        <v>　　　2人以下？</v>
      </c>
      <c r="M39" s="362"/>
      <c r="N39" s="120" t="str">
        <f>O37&amp;"人以下？"</f>
        <v>7人以下？</v>
      </c>
    </row>
    <row r="40" spans="1:17" s="4" customFormat="1" ht="15.75">
      <c r="A40" s="97"/>
      <c r="B40" s="10"/>
      <c r="C40" s="10"/>
      <c r="D40" s="10"/>
      <c r="E40" s="93"/>
      <c r="F40" s="77" t="str">
        <f>IF(④加算!G30="","",④加算!G30)</f>
        <v>〇</v>
      </c>
      <c r="G40" s="89">
        <v>33</v>
      </c>
      <c r="H40" s="89" t="s">
        <v>145</v>
      </c>
      <c r="I40" s="98"/>
      <c r="K40" s="360" t="s">
        <v>173</v>
      </c>
      <c r="L40" s="360"/>
      <c r="M40" s="77">
        <f>B26</f>
        <v>2</v>
      </c>
      <c r="N40" s="4" t="s">
        <v>132</v>
      </c>
    </row>
    <row r="41" spans="1:17" s="4" customFormat="1" ht="15.75">
      <c r="A41" s="97"/>
      <c r="B41" s="10"/>
      <c r="C41" s="10"/>
      <c r="D41" s="10"/>
      <c r="E41" s="93"/>
      <c r="F41" s="77" t="str">
        <f>IF(④加算!G31="","",④加算!G31)</f>
        <v>〇</v>
      </c>
      <c r="G41" s="89">
        <v>34</v>
      </c>
      <c r="H41" s="89" t="s">
        <v>152</v>
      </c>
      <c r="I41" s="98"/>
      <c r="M41" s="86" t="str">
        <f>IF(M38-M40&lt;0,"加算不可！",IF(O37-M40&lt;0,"加算不可！","加算OK"))</f>
        <v>加算OK</v>
      </c>
    </row>
    <row r="42" spans="1:17" s="4" customFormat="1" ht="15.75">
      <c r="A42" s="97"/>
      <c r="B42" s="10"/>
      <c r="C42" s="10"/>
      <c r="D42" s="10"/>
      <c r="E42" s="93"/>
      <c r="F42" s="271" t="str">
        <f>IF(④加算!G32="","",④加算!G32)</f>
        <v>Ⅰ～Ⅱ</v>
      </c>
      <c r="G42" s="89">
        <v>35</v>
      </c>
      <c r="H42" s="89" t="s">
        <v>153</v>
      </c>
      <c r="I42" s="98"/>
    </row>
    <row r="43" spans="1:17" s="4" customFormat="1" ht="15.75">
      <c r="A43" s="97"/>
      <c r="B43" s="10"/>
      <c r="C43" s="10"/>
      <c r="D43" s="10"/>
      <c r="E43" s="93"/>
      <c r="F43" s="77" t="str">
        <f>IF(④加算!G33="","",④加算!H33)</f>
        <v>A</v>
      </c>
      <c r="G43" s="89">
        <v>36</v>
      </c>
      <c r="H43" s="89" t="s">
        <v>146</v>
      </c>
      <c r="I43" s="98"/>
    </row>
    <row r="44" spans="1:17" s="4" customFormat="1" ht="15.75">
      <c r="A44" s="97"/>
      <c r="B44" s="10"/>
      <c r="C44" s="10"/>
      <c r="D44" s="10"/>
      <c r="E44" s="93"/>
      <c r="F44" s="77" t="str">
        <f>IF(④加算!G34="","",④加算!G34)</f>
        <v/>
      </c>
      <c r="G44" s="89">
        <v>37</v>
      </c>
      <c r="H44" s="89" t="s">
        <v>147</v>
      </c>
      <c r="I44" s="98"/>
    </row>
    <row r="45" spans="1:17" s="4" customFormat="1" ht="15.75">
      <c r="A45" s="97"/>
      <c r="B45" s="10"/>
      <c r="C45" s="10"/>
      <c r="D45" s="10"/>
      <c r="E45" s="93"/>
      <c r="F45" s="77" t="str">
        <f>IF(④加算!G35="","",④加算!G35)</f>
        <v>〇</v>
      </c>
      <c r="G45" s="231">
        <v>38</v>
      </c>
      <c r="H45" s="231" t="s">
        <v>308</v>
      </c>
      <c r="I45" s="98"/>
    </row>
    <row r="46" spans="1:17" s="4" customFormat="1" ht="16.5" thickBot="1">
      <c r="A46" s="99"/>
      <c r="B46" s="100"/>
      <c r="C46" s="100"/>
      <c r="D46" s="10"/>
      <c r="E46" s="106"/>
      <c r="F46" s="100"/>
      <c r="G46" s="100"/>
      <c r="H46" s="100"/>
      <c r="I46" s="105"/>
    </row>
    <row r="47" spans="1:17" s="4" customFormat="1" ht="15.75">
      <c r="B47" s="75"/>
      <c r="C47" s="75"/>
      <c r="D47" s="10"/>
      <c r="F47" s="75"/>
      <c r="G47" s="75"/>
      <c r="H47" s="75"/>
    </row>
    <row r="48" spans="1:17" s="4" customFormat="1" ht="15.75">
      <c r="B48" s="75"/>
      <c r="C48" s="75"/>
      <c r="D48" s="75"/>
      <c r="F48" s="75"/>
      <c r="G48" s="75"/>
      <c r="H48" s="75"/>
    </row>
    <row r="49" spans="1:16" s="4" customFormat="1" ht="15.75">
      <c r="B49" s="75"/>
      <c r="C49" s="75"/>
      <c r="D49" s="75"/>
      <c r="F49" s="75"/>
      <c r="G49" s="75"/>
      <c r="H49" s="75"/>
    </row>
    <row r="50" spans="1:16">
      <c r="A50" s="4"/>
      <c r="B50" s="75"/>
      <c r="C50" s="75"/>
      <c r="D50" s="75"/>
      <c r="E50" s="4"/>
      <c r="F50" s="75"/>
      <c r="G50" s="75"/>
      <c r="H50" s="75"/>
      <c r="I50" s="4"/>
      <c r="K50" s="4"/>
      <c r="L50" s="4"/>
      <c r="M50" s="4"/>
      <c r="N50" s="4"/>
      <c r="O50" s="4"/>
      <c r="P50" s="4"/>
    </row>
    <row r="51" spans="1:16">
      <c r="B51" s="75"/>
      <c r="C51" s="75"/>
      <c r="D51" s="75"/>
      <c r="E51" s="4"/>
      <c r="F51" s="75"/>
      <c r="G51" s="75"/>
      <c r="H51" s="75"/>
      <c r="K51" s="4"/>
      <c r="L51" s="4"/>
      <c r="M51" s="4"/>
      <c r="N51" s="4"/>
      <c r="O51" s="4"/>
      <c r="P51" s="4"/>
    </row>
    <row r="52" spans="1:16">
      <c r="B52" s="75"/>
      <c r="C52" s="75"/>
      <c r="D52" s="75"/>
      <c r="E52" s="4"/>
      <c r="F52" s="75"/>
      <c r="G52" s="75"/>
      <c r="H52" s="75"/>
      <c r="K52" s="4"/>
      <c r="L52" s="4"/>
      <c r="M52" s="4"/>
      <c r="N52" s="4"/>
      <c r="O52" s="4"/>
      <c r="P52" s="4"/>
    </row>
    <row r="53" spans="1:16">
      <c r="B53" s="75"/>
      <c r="C53" s="75"/>
      <c r="D53" s="75"/>
      <c r="E53" s="4"/>
      <c r="F53" s="75"/>
      <c r="G53" s="75"/>
      <c r="H53" s="75"/>
      <c r="K53" s="4"/>
      <c r="L53" s="4"/>
      <c r="M53" s="4"/>
      <c r="N53" s="4"/>
      <c r="O53" s="4"/>
      <c r="P53" s="4"/>
    </row>
    <row r="54" spans="1:16">
      <c r="B54" s="75"/>
      <c r="C54" s="75"/>
      <c r="D54" s="75"/>
      <c r="E54" s="4"/>
      <c r="F54" s="75"/>
      <c r="G54" s="75"/>
      <c r="H54" s="75"/>
      <c r="K54" s="4"/>
      <c r="L54" s="4"/>
      <c r="M54" s="4"/>
      <c r="N54" s="4"/>
      <c r="O54" s="4"/>
      <c r="P54" s="4"/>
    </row>
    <row r="55" spans="1:16">
      <c r="B55" s="75"/>
      <c r="C55" s="75"/>
      <c r="D55" s="75"/>
      <c r="E55" s="4"/>
      <c r="F55" s="75"/>
      <c r="G55" s="75"/>
      <c r="H55" s="75"/>
      <c r="K55" s="4"/>
      <c r="L55" s="4"/>
      <c r="M55" s="4"/>
      <c r="N55" s="4"/>
      <c r="O55" s="4"/>
      <c r="P55" s="4"/>
    </row>
    <row r="56" spans="1:16">
      <c r="D56" s="75"/>
      <c r="K56" s="4"/>
      <c r="L56" s="4"/>
      <c r="M56" s="4"/>
      <c r="N56" s="4"/>
      <c r="O56" s="4"/>
      <c r="P56" s="4"/>
    </row>
    <row r="57" spans="1:16">
      <c r="K57" s="4"/>
      <c r="L57" s="4"/>
      <c r="M57" s="4"/>
      <c r="N57" s="4"/>
      <c r="O57" s="4"/>
      <c r="P57" s="4"/>
    </row>
    <row r="58" spans="1:16">
      <c r="K58" s="4"/>
      <c r="L58" s="4"/>
      <c r="M58" s="4"/>
      <c r="N58" s="4"/>
      <c r="O58" s="4"/>
      <c r="P58" s="4"/>
    </row>
    <row r="59" spans="1:16">
      <c r="K59" s="4"/>
      <c r="L59" s="4"/>
      <c r="M59" s="4"/>
      <c r="N59" s="4"/>
      <c r="O59" s="4"/>
      <c r="P59" s="4"/>
    </row>
    <row r="60" spans="1:16">
      <c r="K60" s="4"/>
      <c r="L60" s="4"/>
      <c r="M60" s="4"/>
      <c r="N60" s="4"/>
      <c r="O60" s="4"/>
      <c r="P60" s="4"/>
    </row>
    <row r="61" spans="1:16">
      <c r="K61" s="4"/>
      <c r="L61" s="4"/>
      <c r="M61" s="4"/>
      <c r="N61" s="4"/>
      <c r="O61" s="4"/>
      <c r="P61" s="4"/>
    </row>
    <row r="62" spans="1:16">
      <c r="K62" s="4"/>
      <c r="L62" s="4"/>
      <c r="M62" s="4"/>
      <c r="N62" s="4"/>
    </row>
    <row r="63" spans="1:16">
      <c r="K63" s="4"/>
      <c r="L63" s="4"/>
      <c r="M63" s="4"/>
      <c r="N63" s="4"/>
    </row>
    <row r="64" spans="1:16">
      <c r="K64" s="4"/>
      <c r="L64" s="4"/>
      <c r="M64" s="4"/>
      <c r="N64" s="4"/>
    </row>
    <row r="65" spans="14:14">
      <c r="N65" s="4"/>
    </row>
  </sheetData>
  <mergeCells count="26">
    <mergeCell ref="K10:M10"/>
    <mergeCell ref="K7:O7"/>
    <mergeCell ref="N4:O4"/>
    <mergeCell ref="B4:K4"/>
    <mergeCell ref="B1:N1"/>
    <mergeCell ref="A7:I7"/>
    <mergeCell ref="K8:M8"/>
    <mergeCell ref="B3:F3"/>
    <mergeCell ref="N3:O3"/>
    <mergeCell ref="O2:P2"/>
    <mergeCell ref="K27:L27"/>
    <mergeCell ref="A17:I17"/>
    <mergeCell ref="K26:M26"/>
    <mergeCell ref="G28:G29"/>
    <mergeCell ref="G22:G23"/>
    <mergeCell ref="K23:L23"/>
    <mergeCell ref="K24:L24"/>
    <mergeCell ref="K22:M22"/>
    <mergeCell ref="K20:L20"/>
    <mergeCell ref="K40:L40"/>
    <mergeCell ref="K30:L30"/>
    <mergeCell ref="K38:L38"/>
    <mergeCell ref="K37:M37"/>
    <mergeCell ref="L39:M39"/>
    <mergeCell ref="K35:L35"/>
    <mergeCell ref="K33:L33"/>
  </mergeCells>
  <phoneticPr fontId="1"/>
  <pageMargins left="0.51181102362204722" right="0.51181102362204722" top="0.55118110236220474" bottom="0.55118110236220474" header="0.31496062992125984" footer="0.31496062992125984"/>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L37"/>
  <sheetViews>
    <sheetView view="pageBreakPreview" topLeftCell="A16" zoomScale="112" zoomScaleNormal="100" zoomScaleSheetLayoutView="112" workbookViewId="0">
      <selection activeCell="F25" sqref="F25"/>
    </sheetView>
  </sheetViews>
  <sheetFormatPr defaultRowHeight="18.75"/>
  <cols>
    <col min="1" max="1" width="5" customWidth="1"/>
    <col min="2" max="4" width="14.625" customWidth="1"/>
    <col min="5" max="5" width="7.125" style="184" bestFit="1" customWidth="1"/>
    <col min="6" max="6" width="11.375" customWidth="1"/>
    <col min="8" max="8" width="5.875" customWidth="1"/>
  </cols>
  <sheetData>
    <row r="1" spans="2:12" ht="30.75" customHeight="1">
      <c r="B1" s="391" t="s">
        <v>274</v>
      </c>
      <c r="C1" s="392"/>
      <c r="D1" s="392"/>
      <c r="E1" s="392"/>
      <c r="F1" s="392"/>
      <c r="G1" s="392"/>
      <c r="H1" s="206"/>
      <c r="I1" s="206"/>
      <c r="J1" s="206"/>
      <c r="K1" s="206"/>
      <c r="L1" s="206"/>
    </row>
    <row r="2" spans="2:12" ht="8.25" customHeight="1"/>
    <row r="3" spans="2:12" s="208" customFormat="1" ht="26.25" thickBot="1">
      <c r="B3" s="207" t="s">
        <v>38</v>
      </c>
      <c r="C3" s="207"/>
      <c r="D3" s="207"/>
    </row>
    <row r="4" spans="2:12" s="208" customFormat="1" ht="26.25" thickBot="1">
      <c r="B4" s="386" t="str">
        <f>①基本情報!A7</f>
        <v>記載例認定こども園</v>
      </c>
      <c r="C4" s="387"/>
      <c r="D4" s="329"/>
      <c r="E4" s="209"/>
      <c r="F4" s="209"/>
      <c r="G4" s="209"/>
    </row>
    <row r="5" spans="2:12" s="208" customFormat="1" ht="25.5">
      <c r="B5" t="s">
        <v>285</v>
      </c>
      <c r="C5" s="210"/>
      <c r="D5" s="210"/>
      <c r="E5" s="209"/>
      <c r="F5" s="209"/>
      <c r="G5" s="209"/>
    </row>
    <row r="6" spans="2:12" s="208" customFormat="1" ht="25.5">
      <c r="B6" s="388" t="s">
        <v>130</v>
      </c>
      <c r="C6" s="388"/>
      <c r="D6" s="388"/>
      <c r="E6" s="209"/>
      <c r="F6" s="209"/>
      <c r="G6" s="209"/>
    </row>
    <row r="7" spans="2:12" s="208" customFormat="1" ht="25.5">
      <c r="B7" s="186"/>
      <c r="C7" s="186" t="s">
        <v>76</v>
      </c>
      <c r="D7" s="186" t="s">
        <v>77</v>
      </c>
      <c r="E7" s="209"/>
      <c r="F7" s="209"/>
      <c r="G7" s="209"/>
    </row>
    <row r="8" spans="2:12" s="208" customFormat="1" ht="25.5">
      <c r="B8" s="186" t="s">
        <v>74</v>
      </c>
      <c r="C8" s="214">
        <f>②児童名簿!J13</f>
        <v>6</v>
      </c>
      <c r="D8" s="215">
        <f>ROUNDDOWN(C8/3,1)</f>
        <v>2</v>
      </c>
      <c r="E8" s="209"/>
      <c r="F8" s="209"/>
      <c r="G8" s="209"/>
    </row>
    <row r="9" spans="2:12" s="208" customFormat="1" ht="25.5">
      <c r="B9" s="186" t="s">
        <v>79</v>
      </c>
      <c r="C9" s="214">
        <f>②児童名簿!K13+②児童名簿!L13</f>
        <v>24</v>
      </c>
      <c r="D9" s="215">
        <f>ROUNDDOWN(C9/6,1)</f>
        <v>4</v>
      </c>
      <c r="E9" s="209"/>
      <c r="F9" s="209"/>
      <c r="G9" s="209"/>
    </row>
    <row r="10" spans="2:12" s="208" customFormat="1" ht="25.5">
      <c r="B10" s="186" t="s">
        <v>75</v>
      </c>
      <c r="C10" s="214">
        <f>②児童名簿!M13</f>
        <v>29</v>
      </c>
      <c r="D10" s="215">
        <f>ROUNDDOWN(C10/20,1)</f>
        <v>1.4</v>
      </c>
      <c r="E10" s="209"/>
      <c r="F10" s="209"/>
      <c r="G10" s="209"/>
    </row>
    <row r="11" spans="2:12" s="208" customFormat="1" ht="25.5">
      <c r="B11" s="186" t="s">
        <v>80</v>
      </c>
      <c r="C11" s="214">
        <f>②児童名簿!N13+②児童名簿!O13</f>
        <v>62</v>
      </c>
      <c r="D11" s="215">
        <f>ROUNDDOWN(C11/30,1)</f>
        <v>2</v>
      </c>
      <c r="E11" s="209"/>
      <c r="F11" s="209"/>
      <c r="G11" s="209"/>
    </row>
    <row r="12" spans="2:12" s="208" customFormat="1" ht="25.5">
      <c r="B12" s="80"/>
      <c r="C12" s="80"/>
      <c r="D12" s="216">
        <f>SUM(D8:D11)</f>
        <v>9.4</v>
      </c>
      <c r="E12" s="209" t="s">
        <v>286</v>
      </c>
      <c r="F12" s="213">
        <f>ROUND(D1:D12,0)</f>
        <v>9</v>
      </c>
      <c r="G12" s="211"/>
    </row>
    <row r="13" spans="2:12" ht="24" customHeight="1">
      <c r="B13" s="69"/>
      <c r="C13" s="69"/>
      <c r="D13" s="69"/>
      <c r="E13" s="69"/>
      <c r="F13" s="69"/>
      <c r="G13" s="69"/>
    </row>
    <row r="14" spans="2:12">
      <c r="B14" t="s">
        <v>283</v>
      </c>
      <c r="E14" s="184" t="s">
        <v>278</v>
      </c>
      <c r="F14" s="212">
        <f>③職員名簿!$AE$40+③職員名簿!$S$16+③職員名簿!$S$17</f>
        <v>20.45</v>
      </c>
    </row>
    <row r="15" spans="2:12">
      <c r="B15" t="s">
        <v>284</v>
      </c>
      <c r="E15" s="184" t="s">
        <v>279</v>
      </c>
      <c r="F15" s="212">
        <f>F12</f>
        <v>9</v>
      </c>
    </row>
    <row r="16" spans="2:12">
      <c r="B16" t="s">
        <v>275</v>
      </c>
      <c r="E16" s="184" t="s">
        <v>280</v>
      </c>
      <c r="F16" s="212">
        <f>⑤集計表!M23</f>
        <v>1</v>
      </c>
    </row>
    <row r="17" spans="2:8">
      <c r="B17" t="s">
        <v>276</v>
      </c>
      <c r="E17" s="184" t="s">
        <v>281</v>
      </c>
      <c r="F17" s="212">
        <f>⑤集計表!M27</f>
        <v>0</v>
      </c>
    </row>
    <row r="18" spans="2:8">
      <c r="B18" t="s">
        <v>277</v>
      </c>
      <c r="E18" s="184" t="s">
        <v>282</v>
      </c>
      <c r="F18" s="212">
        <f>⑤集計表!M30</f>
        <v>1</v>
      </c>
    </row>
    <row r="19" spans="2:8" ht="19.5" thickBot="1"/>
    <row r="20" spans="2:8" ht="26.25" thickBot="1">
      <c r="B20" t="s">
        <v>287</v>
      </c>
      <c r="E20" s="184" t="s">
        <v>288</v>
      </c>
      <c r="F20" s="217">
        <f>F14-F15-F16-F17-F18</f>
        <v>9.4499999999999993</v>
      </c>
      <c r="H20" t="s">
        <v>298</v>
      </c>
    </row>
    <row r="21" spans="2:8">
      <c r="B21" t="s">
        <v>289</v>
      </c>
    </row>
    <row r="22" spans="2:8" ht="9" customHeight="1">
      <c r="E22" s="187"/>
    </row>
    <row r="23" spans="2:8" ht="19.5" thickBot="1">
      <c r="B23" t="s">
        <v>299</v>
      </c>
      <c r="E23" s="187"/>
    </row>
    <row r="24" spans="2:8">
      <c r="B24" s="393" t="s">
        <v>293</v>
      </c>
      <c r="C24" s="394"/>
      <c r="D24" s="220" t="s">
        <v>294</v>
      </c>
      <c r="E24" s="225">
        <v>5</v>
      </c>
      <c r="F24" s="221" t="s">
        <v>132</v>
      </c>
    </row>
    <row r="25" spans="2:8">
      <c r="B25" s="395"/>
      <c r="C25" s="396"/>
      <c r="D25" s="218" t="s">
        <v>295</v>
      </c>
      <c r="E25" s="226">
        <v>3</v>
      </c>
      <c r="F25" s="222" t="s">
        <v>132</v>
      </c>
    </row>
    <row r="26" spans="2:8">
      <c r="B26" s="395"/>
      <c r="C26" s="396"/>
      <c r="D26" s="219" t="s">
        <v>296</v>
      </c>
      <c r="E26" s="227">
        <v>1.5</v>
      </c>
      <c r="F26" s="223" t="s">
        <v>132</v>
      </c>
    </row>
    <row r="27" spans="2:8" ht="36.75" customHeight="1" thickBot="1">
      <c r="B27" s="397" t="s">
        <v>297</v>
      </c>
      <c r="C27" s="398"/>
      <c r="D27" s="398"/>
      <c r="E27" s="228">
        <v>0</v>
      </c>
      <c r="F27" s="224" t="s">
        <v>132</v>
      </c>
    </row>
    <row r="28" spans="2:8">
      <c r="B28" s="389" t="s">
        <v>290</v>
      </c>
      <c r="C28" s="389"/>
      <c r="D28" s="389"/>
      <c r="E28" s="389"/>
      <c r="F28" s="389"/>
      <c r="G28" s="389"/>
    </row>
    <row r="29" spans="2:8">
      <c r="B29" s="389"/>
      <c r="C29" s="389"/>
      <c r="D29" s="389"/>
      <c r="E29" s="389"/>
      <c r="F29" s="389"/>
      <c r="G29" s="389"/>
    </row>
    <row r="30" spans="2:8">
      <c r="B30" s="389"/>
      <c r="C30" s="389"/>
      <c r="D30" s="389"/>
      <c r="E30" s="389"/>
      <c r="F30" s="389"/>
      <c r="G30" s="389"/>
    </row>
    <row r="31" spans="2:8">
      <c r="B31" s="389"/>
      <c r="C31" s="389"/>
      <c r="D31" s="389"/>
      <c r="E31" s="389"/>
      <c r="F31" s="389"/>
      <c r="G31" s="389"/>
    </row>
    <row r="32" spans="2:8">
      <c r="B32" s="389"/>
      <c r="C32" s="389"/>
      <c r="D32" s="389"/>
      <c r="E32" s="389"/>
      <c r="F32" s="389"/>
      <c r="G32" s="389"/>
    </row>
    <row r="33" spans="2:7">
      <c r="B33" s="390" t="s">
        <v>291</v>
      </c>
      <c r="C33" s="390"/>
      <c r="D33" s="390"/>
      <c r="E33" s="390"/>
      <c r="F33" s="390"/>
      <c r="G33" s="390"/>
    </row>
    <row r="34" spans="2:7" hidden="1">
      <c r="B34" s="390"/>
      <c r="C34" s="390"/>
      <c r="D34" s="390"/>
      <c r="E34" s="390"/>
      <c r="F34" s="390"/>
      <c r="G34" s="390"/>
    </row>
    <row r="35" spans="2:7" hidden="1">
      <c r="B35" s="390"/>
      <c r="C35" s="390"/>
      <c r="D35" s="390"/>
      <c r="E35" s="390"/>
      <c r="F35" s="390"/>
      <c r="G35" s="390"/>
    </row>
    <row r="36" spans="2:7" hidden="1">
      <c r="B36" s="390"/>
      <c r="C36" s="390"/>
      <c r="D36" s="390"/>
      <c r="E36" s="390"/>
      <c r="F36" s="390"/>
      <c r="G36" s="390"/>
    </row>
    <row r="37" spans="2:7" hidden="1">
      <c r="B37" s="390"/>
      <c r="C37" s="390"/>
      <c r="D37" s="390"/>
      <c r="E37" s="390"/>
      <c r="F37" s="390"/>
      <c r="G37" s="390"/>
    </row>
  </sheetData>
  <mergeCells count="7">
    <mergeCell ref="B4:D4"/>
    <mergeCell ref="B6:D6"/>
    <mergeCell ref="B28:G32"/>
    <mergeCell ref="B33:G37"/>
    <mergeCell ref="B1:G1"/>
    <mergeCell ref="B24:C26"/>
    <mergeCell ref="B27:D27"/>
  </mergeCells>
  <phoneticPr fontId="1"/>
  <conditionalFormatting sqref="E24:E27">
    <cfRule type="containsBlanks" dxfId="0" priority="1">
      <formula>LEN(TRIM(E24))=0</formula>
    </cfRule>
  </conditionalFormatting>
  <pageMargins left="0.51181102362204722" right="0.51181102362204722" top="0.55118110236220474" bottom="0.55118110236220474" header="0.31496062992125984" footer="0.31496062992125984"/>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24"/>
  <sheetViews>
    <sheetView view="pageBreakPreview" zoomScale="85" zoomScaleNormal="100" zoomScaleSheetLayoutView="85" workbookViewId="0">
      <selection activeCell="A2" sqref="A2"/>
    </sheetView>
  </sheetViews>
  <sheetFormatPr defaultRowHeight="18.75"/>
  <sheetData>
    <row r="1" spans="1:13">
      <c r="A1" t="s">
        <v>271</v>
      </c>
      <c r="M1" s="149">
        <f>改修履歴!A1</f>
        <v>1</v>
      </c>
    </row>
    <row r="21" spans="1:13">
      <c r="A21" s="128" t="s">
        <v>184</v>
      </c>
      <c r="B21" s="392" t="s">
        <v>186</v>
      </c>
      <c r="C21" s="392"/>
      <c r="D21" s="392"/>
      <c r="E21" s="392"/>
      <c r="F21" s="392"/>
      <c r="G21" s="392"/>
      <c r="H21" s="392"/>
      <c r="I21" s="392"/>
      <c r="J21" s="392"/>
      <c r="K21" s="392"/>
      <c r="L21" s="392"/>
      <c r="M21" s="392"/>
    </row>
    <row r="22" spans="1:13" ht="38.25" customHeight="1">
      <c r="A22" s="129" t="s">
        <v>185</v>
      </c>
      <c r="B22" s="399" t="s">
        <v>189</v>
      </c>
      <c r="C22" s="399"/>
      <c r="D22" s="399"/>
      <c r="E22" s="399"/>
      <c r="F22" s="399"/>
      <c r="G22" s="399"/>
      <c r="H22" s="399"/>
      <c r="I22" s="399"/>
      <c r="J22" s="399"/>
      <c r="K22" s="399"/>
      <c r="L22" s="399"/>
      <c r="M22" s="399"/>
    </row>
    <row r="23" spans="1:13" ht="37.5" customHeight="1">
      <c r="A23" s="129" t="s">
        <v>187</v>
      </c>
      <c r="B23" s="400" t="s">
        <v>188</v>
      </c>
      <c r="C23" s="400"/>
      <c r="D23" s="400"/>
      <c r="E23" s="400"/>
      <c r="F23" s="400"/>
      <c r="G23" s="400"/>
      <c r="H23" s="400"/>
      <c r="I23" s="400"/>
      <c r="J23" s="400"/>
      <c r="K23" s="400"/>
      <c r="L23" s="400"/>
      <c r="M23" s="400"/>
    </row>
    <row r="24" spans="1:13">
      <c r="M24" s="130" t="s">
        <v>190</v>
      </c>
    </row>
  </sheetData>
  <sheetProtection sheet="1" objects="1" scenarios="1"/>
  <mergeCells count="3">
    <mergeCell ref="B22:M22"/>
    <mergeCell ref="B21:M21"/>
    <mergeCell ref="B23:M23"/>
  </mergeCells>
  <phoneticPr fontId="1"/>
  <pageMargins left="0.7" right="0.7" top="0.75" bottom="0.75"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56"/>
  <sheetViews>
    <sheetView showGridLines="0" view="pageBreakPreview" topLeftCell="A28" zoomScale="59" zoomScaleNormal="55" zoomScaleSheetLayoutView="59" workbookViewId="0">
      <selection activeCell="Y15" sqref="Y15"/>
    </sheetView>
  </sheetViews>
  <sheetFormatPr defaultRowHeight="18.75"/>
  <cols>
    <col min="15" max="15" width="8.875" customWidth="1"/>
    <col min="28" max="28" width="4.5" customWidth="1"/>
  </cols>
  <sheetData>
    <row r="1" spans="1:28">
      <c r="A1" s="401" t="s">
        <v>310</v>
      </c>
      <c r="B1" s="402"/>
      <c r="C1" s="402"/>
      <c r="D1" s="402"/>
      <c r="E1" s="402"/>
      <c r="F1" s="402"/>
      <c r="G1" s="402"/>
      <c r="H1" s="402"/>
      <c r="AB1" s="148"/>
    </row>
    <row r="2" spans="1:28">
      <c r="A2" s="402"/>
      <c r="B2" s="402"/>
      <c r="C2" s="402"/>
      <c r="D2" s="402"/>
      <c r="E2" s="402"/>
      <c r="F2" s="402"/>
      <c r="G2" s="402"/>
      <c r="H2" s="402"/>
    </row>
    <row r="37" spans="21:21">
      <c r="U37" t="s">
        <v>311</v>
      </c>
    </row>
    <row r="56" spans="28:28">
      <c r="AB56" s="130" t="s">
        <v>191</v>
      </c>
    </row>
  </sheetData>
  <mergeCells count="1">
    <mergeCell ref="A1:H2"/>
  </mergeCells>
  <phoneticPr fontId="1"/>
  <pageMargins left="0.7" right="0.7" top="0.75" bottom="0.75" header="0.3" footer="0.3"/>
  <pageSetup paperSize="9" scale="44"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40"/>
  <sheetViews>
    <sheetView workbookViewId="0">
      <pane ySplit="2" topLeftCell="A27" activePane="bottomLeft" state="frozen"/>
      <selection pane="bottomLeft" activeCell="A2" sqref="A2"/>
    </sheetView>
  </sheetViews>
  <sheetFormatPr defaultRowHeight="18.75"/>
  <cols>
    <col min="1" max="1" width="7.25" customWidth="1"/>
    <col min="2" max="2" width="11.375" bestFit="1" customWidth="1"/>
    <col min="3" max="3" width="78.75" style="183" customWidth="1"/>
  </cols>
  <sheetData>
    <row r="1" spans="1:3" ht="26.25" thickBot="1">
      <c r="A1" s="403">
        <v>1</v>
      </c>
      <c r="B1" s="404"/>
      <c r="C1" s="181"/>
    </row>
    <row r="2" spans="1:3">
      <c r="A2" s="146" t="s">
        <v>210</v>
      </c>
      <c r="B2" s="147" t="s">
        <v>211</v>
      </c>
      <c r="C2" s="182" t="s">
        <v>214</v>
      </c>
    </row>
    <row r="3" spans="1:3">
      <c r="A3" s="52">
        <v>0.1</v>
      </c>
      <c r="B3" s="141">
        <v>44046</v>
      </c>
      <c r="C3" s="164" t="s">
        <v>233</v>
      </c>
    </row>
    <row r="4" spans="1:3">
      <c r="A4" s="52">
        <v>0.11</v>
      </c>
      <c r="B4" s="141">
        <v>44047</v>
      </c>
      <c r="C4" s="164" t="s">
        <v>212</v>
      </c>
    </row>
    <row r="5" spans="1:3">
      <c r="A5" s="52"/>
      <c r="B5" s="52"/>
      <c r="C5" s="164" t="s">
        <v>213</v>
      </c>
    </row>
    <row r="6" spans="1:3" ht="37.5">
      <c r="A6" s="52">
        <v>0.12</v>
      </c>
      <c r="B6" s="141">
        <v>44098</v>
      </c>
      <c r="C6" s="164" t="s">
        <v>215</v>
      </c>
    </row>
    <row r="7" spans="1:3" ht="37.5">
      <c r="A7" s="52"/>
      <c r="B7" s="52"/>
      <c r="C7" s="164" t="s">
        <v>216</v>
      </c>
    </row>
    <row r="8" spans="1:3">
      <c r="A8" s="52"/>
      <c r="B8" s="52"/>
      <c r="C8" s="164" t="s">
        <v>232</v>
      </c>
    </row>
    <row r="9" spans="1:3" ht="37.5">
      <c r="A9" s="52">
        <v>0.2</v>
      </c>
      <c r="B9" s="141">
        <v>44167</v>
      </c>
      <c r="C9" s="164" t="s">
        <v>234</v>
      </c>
    </row>
    <row r="10" spans="1:3" ht="37.5">
      <c r="A10" s="52"/>
      <c r="B10" s="52"/>
      <c r="C10" s="164" t="s">
        <v>236</v>
      </c>
    </row>
    <row r="11" spans="1:3">
      <c r="A11" s="52"/>
      <c r="B11" s="52"/>
      <c r="C11" s="164" t="s">
        <v>237</v>
      </c>
    </row>
    <row r="12" spans="1:3">
      <c r="A12" s="52"/>
      <c r="B12" s="52"/>
      <c r="C12" s="164" t="s">
        <v>239</v>
      </c>
    </row>
    <row r="13" spans="1:3">
      <c r="A13" s="52"/>
      <c r="B13" s="52"/>
      <c r="C13" s="164" t="s">
        <v>240</v>
      </c>
    </row>
    <row r="14" spans="1:3">
      <c r="A14" s="52"/>
      <c r="B14" s="52"/>
      <c r="C14" s="164" t="s">
        <v>241</v>
      </c>
    </row>
    <row r="15" spans="1:3">
      <c r="A15" s="52"/>
      <c r="B15" s="52"/>
      <c r="C15" s="164" t="s">
        <v>242</v>
      </c>
    </row>
    <row r="16" spans="1:3">
      <c r="A16" s="52"/>
      <c r="B16" s="52"/>
      <c r="C16" s="164" t="s">
        <v>245</v>
      </c>
    </row>
    <row r="17" spans="1:3">
      <c r="A17" s="52">
        <v>0.21</v>
      </c>
      <c r="B17" s="141">
        <v>44189</v>
      </c>
      <c r="C17" s="164" t="s">
        <v>246</v>
      </c>
    </row>
    <row r="18" spans="1:3">
      <c r="A18" s="52"/>
      <c r="B18" s="52"/>
      <c r="C18" s="164" t="s">
        <v>247</v>
      </c>
    </row>
    <row r="19" spans="1:3" ht="37.5">
      <c r="A19" s="52">
        <v>0.22</v>
      </c>
      <c r="B19" s="141">
        <v>44221</v>
      </c>
      <c r="C19" s="164" t="s">
        <v>253</v>
      </c>
    </row>
    <row r="20" spans="1:3" ht="37.5">
      <c r="A20" s="52"/>
      <c r="B20" s="52"/>
      <c r="C20" s="164" t="s">
        <v>254</v>
      </c>
    </row>
    <row r="21" spans="1:3">
      <c r="A21" s="52">
        <v>0.23</v>
      </c>
      <c r="B21" s="141">
        <v>44323</v>
      </c>
      <c r="C21" s="164" t="s">
        <v>256</v>
      </c>
    </row>
    <row r="22" spans="1:3" ht="56.25">
      <c r="A22" s="163">
        <v>0.24</v>
      </c>
      <c r="B22" s="141">
        <v>44371</v>
      </c>
      <c r="C22" s="164" t="s">
        <v>257</v>
      </c>
    </row>
    <row r="23" spans="1:3">
      <c r="A23" s="163">
        <v>1</v>
      </c>
      <c r="B23" s="141">
        <v>44371</v>
      </c>
      <c r="C23" s="164" t="s">
        <v>258</v>
      </c>
    </row>
    <row r="24" spans="1:3">
      <c r="A24" s="52">
        <v>0</v>
      </c>
      <c r="B24" s="141">
        <v>44552</v>
      </c>
      <c r="C24" s="164" t="s">
        <v>259</v>
      </c>
    </row>
    <row r="25" spans="1:3">
      <c r="A25" s="405">
        <v>0.01</v>
      </c>
      <c r="B25" s="141">
        <v>44573</v>
      </c>
      <c r="C25" s="164" t="s">
        <v>267</v>
      </c>
    </row>
    <row r="26" spans="1:3">
      <c r="A26" s="406"/>
      <c r="B26" s="52"/>
      <c r="C26" s="164" t="s">
        <v>268</v>
      </c>
    </row>
    <row r="27" spans="1:3">
      <c r="A27" s="163">
        <v>0.99</v>
      </c>
      <c r="B27" s="141">
        <v>44656</v>
      </c>
      <c r="C27" s="164" t="s">
        <v>270</v>
      </c>
    </row>
    <row r="28" spans="1:3">
      <c r="A28" s="52"/>
      <c r="B28" s="52"/>
      <c r="C28" s="164"/>
    </row>
    <row r="29" spans="1:3">
      <c r="A29" s="52">
        <v>0</v>
      </c>
      <c r="B29" s="52"/>
      <c r="C29" s="164" t="s">
        <v>272</v>
      </c>
    </row>
    <row r="30" spans="1:3">
      <c r="A30" s="52"/>
      <c r="B30" s="52"/>
      <c r="C30" s="164" t="s">
        <v>273</v>
      </c>
    </row>
    <row r="31" spans="1:3">
      <c r="A31" s="52">
        <v>0.2</v>
      </c>
      <c r="B31" s="141">
        <v>44966</v>
      </c>
      <c r="C31" s="164" t="s">
        <v>292</v>
      </c>
    </row>
    <row r="32" spans="1:3">
      <c r="A32" s="52">
        <v>0.5</v>
      </c>
      <c r="B32" s="141">
        <v>45013</v>
      </c>
      <c r="C32" s="164" t="s">
        <v>300</v>
      </c>
    </row>
    <row r="33" spans="1:3">
      <c r="A33" s="52">
        <v>0.99</v>
      </c>
      <c r="B33" s="141">
        <v>45015</v>
      </c>
      <c r="C33" s="164" t="s">
        <v>301</v>
      </c>
    </row>
    <row r="34" spans="1:3">
      <c r="A34" s="52"/>
      <c r="B34" s="141">
        <v>45093</v>
      </c>
      <c r="C34" s="164" t="s">
        <v>309</v>
      </c>
    </row>
    <row r="35" spans="1:3">
      <c r="A35" s="52"/>
      <c r="B35" s="52"/>
      <c r="C35" s="164"/>
    </row>
    <row r="36" spans="1:3">
      <c r="A36" s="163">
        <v>0.99</v>
      </c>
      <c r="B36" s="141">
        <v>45378</v>
      </c>
      <c r="C36" s="164" t="s">
        <v>270</v>
      </c>
    </row>
    <row r="37" spans="1:3">
      <c r="A37" s="52"/>
      <c r="B37" s="52"/>
      <c r="C37" s="164" t="s">
        <v>314</v>
      </c>
    </row>
    <row r="38" spans="1:3">
      <c r="A38" s="52"/>
      <c r="B38" s="52"/>
      <c r="C38" s="164" t="s">
        <v>315</v>
      </c>
    </row>
    <row r="39" spans="1:3">
      <c r="A39" s="52"/>
      <c r="B39" s="52"/>
      <c r="C39" s="164"/>
    </row>
    <row r="40" spans="1:3">
      <c r="A40" s="52">
        <v>1</v>
      </c>
      <c r="B40" s="52"/>
      <c r="C40" s="164" t="s">
        <v>316</v>
      </c>
    </row>
  </sheetData>
  <mergeCells count="2">
    <mergeCell ref="A1:B1"/>
    <mergeCell ref="A25:A26"/>
  </mergeCells>
  <phoneticPr fontId="1"/>
  <pageMargins left="0.7" right="0.7" top="0.75" bottom="0.75" header="0.3" footer="0.3"/>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①基本情報</vt:lpstr>
      <vt:lpstr>②児童名簿</vt:lpstr>
      <vt:lpstr>③職員名簿</vt:lpstr>
      <vt:lpstr>④加算</vt:lpstr>
      <vt:lpstr>⑤集計表</vt:lpstr>
      <vt:lpstr>⑥加配職員判定</vt:lpstr>
      <vt:lpstr>職員配置</vt:lpstr>
      <vt:lpstr>各加算の関係性</vt:lpstr>
      <vt:lpstr>改修履歴</vt:lpstr>
      <vt:lpstr>①基本情報!Print_Area</vt:lpstr>
      <vt:lpstr>②児童名簿!Print_Area</vt:lpstr>
      <vt:lpstr>③職員名簿!Print_Area</vt:lpstr>
      <vt:lpstr>④加算!Print_Area</vt:lpstr>
      <vt:lpstr>⑤集計表!Print_Area</vt:lpstr>
      <vt:lpstr>⑥加配職員判定!Print_Area</vt:lpstr>
      <vt:lpstr>各加算の関係性!Print_Area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三木市役所</dc:creator>
  <cp:lastModifiedBy>三木市</cp:lastModifiedBy>
  <cp:lastPrinted>2024-03-27T04:20:21Z</cp:lastPrinted>
  <dcterms:created xsi:type="dcterms:W3CDTF">2020-01-20T06:10:49Z</dcterms:created>
  <dcterms:modified xsi:type="dcterms:W3CDTF">2024-07-08T07:08:40Z</dcterms:modified>
</cp:coreProperties>
</file>