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6年度\03_入所・給付係\01_教育・保育給付\5_加算認定\0_4月調査\"/>
    </mc:Choice>
  </mc:AlternateContent>
  <bookViews>
    <workbookView xWindow="0" yWindow="0" windowWidth="20175" windowHeight="7500" tabRatio="700" activeTab="4"/>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③職員名簿!$A$1:$P$38</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5" i="2" l="1"/>
  <c r="P33" i="2"/>
  <c r="P32" i="2"/>
  <c r="P31" i="2"/>
  <c r="P30" i="2"/>
  <c r="P29" i="2"/>
  <c r="P28" i="2"/>
  <c r="P27" i="2"/>
  <c r="P24" i="2"/>
  <c r="P22" i="2"/>
  <c r="P21" i="2"/>
  <c r="P20" i="2"/>
  <c r="P18" i="2"/>
  <c r="P17" i="2"/>
  <c r="P16" i="2"/>
  <c r="P15" i="2"/>
  <c r="P14" i="2"/>
  <c r="P13" i="2"/>
  <c r="P12" i="2"/>
  <c r="P11" i="2"/>
  <c r="P34" i="2"/>
  <c r="F35" i="4" l="1"/>
  <c r="N4" i="2" l="1"/>
  <c r="P36" i="2"/>
  <c r="P37" i="2"/>
  <c r="P38" i="2"/>
  <c r="X36" i="2" l="1"/>
  <c r="X37" i="2"/>
  <c r="X38" i="2"/>
  <c r="X27" i="2"/>
  <c r="X28" i="2"/>
  <c r="X29" i="2"/>
  <c r="X30" i="2"/>
  <c r="X31" i="2"/>
  <c r="X32" i="2"/>
  <c r="X33" i="2"/>
  <c r="X34" i="2"/>
  <c r="X35" i="2"/>
  <c r="B38" i="2"/>
  <c r="B28" i="2"/>
  <c r="B29" i="2"/>
  <c r="B30" i="2"/>
  <c r="B31" i="2"/>
  <c r="B32" i="2"/>
  <c r="B33" i="2"/>
  <c r="B34" i="2"/>
  <c r="B35" i="2"/>
  <c r="B36" i="2"/>
  <c r="B37" i="2"/>
  <c r="B27" i="2"/>
  <c r="O2" i="4" l="1"/>
  <c r="I2" i="3"/>
  <c r="P2" i="2"/>
  <c r="H2" i="1"/>
  <c r="J2" i="5"/>
  <c r="A1" i="5" l="1"/>
  <c r="B1" i="4" s="1"/>
  <c r="A1" i="2" l="1"/>
  <c r="A1" i="3"/>
  <c r="O3" i="3" l="1"/>
  <c r="N3" i="3" l="1"/>
  <c r="J23" i="5"/>
  <c r="J22" i="5"/>
  <c r="L3" i="3" l="1"/>
  <c r="K3" i="3" s="1"/>
  <c r="H11" i="3" s="1"/>
  <c r="AA13" i="2"/>
  <c r="AD13" i="2" s="1"/>
  <c r="AB15" i="2" l="1"/>
  <c r="AC14" i="2"/>
  <c r="AB14" i="2"/>
  <c r="AA15" i="2"/>
  <c r="AA14" i="2"/>
  <c r="AA12" i="2"/>
  <c r="AD12" i="2" s="1"/>
  <c r="AE13" i="2" s="1"/>
  <c r="M27" i="4" s="1"/>
  <c r="N27" i="4" s="1"/>
  <c r="AA11" i="2"/>
  <c r="AD11" i="2" s="1"/>
  <c r="H43" i="4" s="1"/>
  <c r="F33" i="4"/>
  <c r="F34" i="4"/>
  <c r="F32" i="4"/>
  <c r="F31" i="4"/>
  <c r="F30" i="4"/>
  <c r="F29" i="4"/>
  <c r="F28" i="4"/>
  <c r="F25" i="4"/>
  <c r="F22" i="4"/>
  <c r="F21" i="4"/>
  <c r="B22" i="4"/>
  <c r="B25" i="4"/>
  <c r="AD15" i="2" l="1"/>
  <c r="H45" i="4" s="1"/>
  <c r="AD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N2" i="5"/>
  <c r="B21" i="4" l="1"/>
  <c r="C11" i="3"/>
  <c r="L40" i="4"/>
  <c r="M40" i="4" s="1"/>
  <c r="N4" i="5"/>
  <c r="O4" i="3" s="1"/>
  <c r="N4" i="3" s="1"/>
  <c r="L4" i="3" s="1"/>
  <c r="K4" i="3" s="1"/>
  <c r="H22" i="3" s="1"/>
  <c r="H14" i="4"/>
  <c r="N4" i="4"/>
  <c r="B13" i="4"/>
  <c r="B12" i="4"/>
  <c r="O2" i="3" l="1"/>
  <c r="J22" i="2"/>
  <c r="J21" i="2"/>
  <c r="J20" i="2"/>
  <c r="B11" i="4" l="1"/>
  <c r="B10" i="4"/>
  <c r="M24" i="4" s="1"/>
  <c r="B9" i="4"/>
  <c r="F20" i="4"/>
  <c r="F19" i="4"/>
  <c r="B19" i="4"/>
  <c r="B24" i="4"/>
  <c r="B23" i="4"/>
  <c r="B20" i="4"/>
  <c r="Q9" i="1"/>
  <c r="J38" i="2"/>
  <c r="J18" i="2"/>
  <c r="Y8" i="2"/>
  <c r="J13" i="2" s="1"/>
  <c r="J14" i="2" l="1"/>
  <c r="J12" i="2"/>
  <c r="J24" i="2"/>
  <c r="J15" i="2"/>
  <c r="M10" i="1"/>
  <c r="J31" i="2"/>
  <c r="J34" i="2"/>
  <c r="J30" i="2"/>
  <c r="J33" i="2"/>
  <c r="J36" i="2"/>
  <c r="J35" i="2"/>
  <c r="J37" i="2"/>
  <c r="J29" i="2"/>
  <c r="J32" i="2"/>
  <c r="C14" i="4"/>
  <c r="K10" i="1"/>
  <c r="L10" i="1"/>
  <c r="J16" i="2"/>
  <c r="J28" i="2"/>
  <c r="J17" i="2"/>
  <c r="J11" i="2"/>
  <c r="J27" i="2"/>
  <c r="B4" i="4"/>
  <c r="Z28" i="2" l="1"/>
  <c r="Z29" i="2"/>
  <c r="Z31" i="2"/>
  <c r="Z32" i="2"/>
  <c r="AA32" i="2"/>
  <c r="AA29" i="2"/>
  <c r="AB29" i="2" s="1"/>
  <c r="K11" i="1"/>
  <c r="Q10" i="1"/>
  <c r="O11" i="1"/>
  <c r="O19" i="1" s="1"/>
  <c r="P11" i="1"/>
  <c r="P19" i="1" s="1"/>
  <c r="M11" i="1"/>
  <c r="M19" i="1" s="1"/>
  <c r="L11" i="1"/>
  <c r="L19" i="1" s="1"/>
  <c r="N11" i="1"/>
  <c r="N19" i="1" s="1"/>
  <c r="L36" i="4" s="1"/>
  <c r="M36" i="4" s="1"/>
  <c r="A3" i="3"/>
  <c r="A6" i="3"/>
  <c r="AA31" i="2" l="1"/>
  <c r="C6" i="2"/>
  <c r="D6" i="2"/>
  <c r="AA28" i="2"/>
  <c r="D7" i="2"/>
  <c r="C7" i="2"/>
  <c r="AC29" i="2"/>
  <c r="J7" i="2" s="1"/>
  <c r="AB32" i="2"/>
  <c r="L12" i="4"/>
  <c r="M12" i="4" s="1"/>
  <c r="K19" i="1"/>
  <c r="L37" i="4"/>
  <c r="M37" i="4" s="1"/>
  <c r="L35" i="4"/>
  <c r="M35" i="4" s="1"/>
  <c r="L15" i="4"/>
  <c r="M15" i="4" s="1"/>
  <c r="K8" i="4"/>
  <c r="L13" i="4"/>
  <c r="M13" i="4" s="1"/>
  <c r="O8" i="4"/>
  <c r="Q11" i="1"/>
  <c r="L14" i="4"/>
  <c r="AC32" i="2" l="1"/>
  <c r="J6" i="2" s="1"/>
  <c r="L34" i="4"/>
  <c r="M34" i="4" s="1"/>
  <c r="M41" i="4" s="1"/>
  <c r="M43" i="4" s="1"/>
  <c r="Q19" i="1"/>
  <c r="M14" i="4"/>
  <c r="M16" i="4" s="1"/>
  <c r="M18" i="4" s="1"/>
  <c r="G4" i="1"/>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9"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<sst xmlns="http://schemas.openxmlformats.org/spreadsheetml/2006/main" count="402" uniqueCount="259">
  <si>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</si>
  <si>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</si>
  <si>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</si>
  <si>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</si>
  <si>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</si>
  <si>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</si>
  <si>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</si>
  <si>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</si>
  <si>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</si>
  <si>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</si>
  <si>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</si>
  <si>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</si>
  <si>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</si>
  <si>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</si>
  <si>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</si>
  <si>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</si>
  <si>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</si>
  <si>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</si>
  <si>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</si>
  <si>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</si>
  <si>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</si>
  <si>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</si>
  <si>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</si>
  <si>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</si>
  <si>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</si>
  <si>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</si>
  <si>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</si>
  <si>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</si>
  <si>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</si>
  <si>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</si>
  <si>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</si>
  <si>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</si>
  <si>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</si>
  <si>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</si>
  <si>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</si>
  <si>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</si>
  <si>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</si>
  <si>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</si>
  <si>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</si>
  <si>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</si>
  <si>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</si>
  <si>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</si>
  <si>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</si>
  <si>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</si>
  <si>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</si>
  <si>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</si>
  <si>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</si>
  <si>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</si>
  <si>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</si>
  <si>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</si>
  <si>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</si>
  <si>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</si>
  <si>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</si>
  <si>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</si>
  <si>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</si>
  <si>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</si>
  <si>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</si>
  <si>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</si>
  <si>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</si>
  <si>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</si>
  <si>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</si>
  <si>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</si>
  <si>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</si>
  <si>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</si>
  <si>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</si>
  <si>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</si>
  <si>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</si>
  <si>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</si>
  <si>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</si>
  <si>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</si>
  <si>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</si>
  <si>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</si>
  <si>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</si>
  <si>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t>
    <rPh sb="0" eb="2">
      <t>コソダ</t>
    </rPh>
    <rPh sb="3" eb="5">
      <t>シエン</t>
    </rPh>
    <rPh sb="6" eb="8">
      <t>トリク</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</si>
  <si>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</si>
  <si>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</si>
  <si>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</si>
  <si>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</si>
  <si>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</si>
  <si>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</si>
  <si>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</si>
  <si>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</si>
  <si>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</si>
  <si>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</si>
  <si>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</si>
  <si>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</si>
  <si>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</si>
  <si>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</si>
  <si>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</si>
  <si>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</si>
  <si>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</si>
  <si>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</si>
  <si>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</si>
  <si>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</si>
  <si>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</si>
  <si>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</si>
  <si>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</si>
  <si>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</si>
  <si>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</si>
  <si>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</si>
  <si>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</si>
  <si>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</si>
  <si>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</si>
  <si>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</si>
  <si>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</si>
  <si>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</si>
  <si>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</si>
  <si>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</si>
  <si>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</si>
  <si>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</si>
  <si>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</si>
  <si>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</si>
  <si>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</si>
  <si>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</si>
  <si>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</si>
  <si>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</si>
  <si>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</si>
  <si>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</si>
  <si>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</si>
  <si>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</si>
  <si>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</si>
  <si>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</si>
  <si>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</si>
  <si>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</si>
  <si>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</si>
  <si>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</si>
  <si>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</si>
  <si>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</si>
  <si>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</si>
  <si>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</si>
  <si>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</si>
  <si>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</si>
  <si>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</si>
  <si>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</si>
  <si>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</si>
  <si>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</si>
  <si>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</si>
  <si>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</si>
  <si>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</si>
  <si>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</si>
  <si>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</si>
  <si>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</si>
  <si>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</si>
  <si>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</si>
  <si>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</si>
  <si>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</si>
  <si>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</si>
  <si>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</si>
  <si>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</si>
  <si>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</si>
  <si>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</si>
  <si>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</si>
  <si>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</si>
  <si>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</si>
  <si>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</si>
  <si>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</si>
  <si>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</si>
  <si>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</si>
  <si>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</si>
  <si>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</si>
  <si>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</si>
  <si>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</si>
  <si>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</si>
  <si>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</si>
  <si>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</si>
  <si>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</si>
  <si>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</si>
  <si>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</si>
  <si>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</si>
  <si>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</si>
  <si>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</si>
  <si>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</si>
  <si>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</si>
  <si>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</si>
  <si>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</si>
  <si>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</si>
  <si>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</si>
  <si>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</si>
  <si>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</si>
  <si>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</si>
  <si>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</si>
  <si>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</si>
  <si>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</si>
  <si>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</si>
  <si>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</si>
  <si>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</si>
  <si>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</si>
  <si>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</si>
  <si>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</si>
  <si>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</si>
  <si>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</si>
  <si>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</si>
  <si>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</si>
  <si>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</si>
  <si>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</si>
  <si>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</si>
  <si>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</si>
  <si>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</si>
  <si>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</si>
  <si>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</si>
  <si>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</si>
  <si>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</si>
  <si>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</si>
  <si>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</si>
  <si>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</si>
  <si>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</si>
  <si>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</si>
  <si>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</si>
  <si>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</si>
  <si>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</si>
  <si>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</si>
  <si>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R4年度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</si>
  <si>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R4年度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</si>
  <si>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プレリリース（4月確認用）</t>
    <rPh sb="8" eb="9">
      <t>ガツ</t>
    </rPh>
    <rPh sb="9" eb="12">
      <t>カクニンヨウ</t>
    </rPh>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</si>
  <si>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</si>
  <si>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</si>
  <si>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</si>
  <si>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</si>
  <si>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</si>
  <si>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事務職員</t>
  </si>
  <si>
    <t>③職員名簿　兼務状況追加</t>
    <rPh sb="1" eb="3">
      <t>ショクイン</t>
    </rPh>
    <rPh sb="3" eb="5">
      <t>メイボ</t>
    </rPh>
    <rPh sb="6" eb="8">
      <t>ケンム</t>
    </rPh>
    <rPh sb="8" eb="10">
      <t>ジョウキョウ</t>
    </rPh>
    <rPh sb="10" eb="12">
      <t>ツイカ</t>
    </rPh>
    <phoneticPr fontId="1"/>
  </si>
  <si>
    <t>処遇改善等加算Ⅲ</t>
    <rPh sb="0" eb="2">
      <t>ショグウ</t>
    </rPh>
    <rPh sb="2" eb="4">
      <t>カイゼン</t>
    </rPh>
    <rPh sb="4" eb="5">
      <t>トウ</t>
    </rPh>
    <rPh sb="5" eb="7">
      <t>カサン</t>
    </rPh>
    <phoneticPr fontId="1"/>
  </si>
  <si>
    <t>処遇Ⅲ</t>
    <rPh sb="0" eb="2">
      <t>ショグウ</t>
    </rPh>
    <phoneticPr fontId="1"/>
  </si>
  <si>
    <t>年度更新</t>
    <rPh sb="0" eb="2">
      <t>ネンド</t>
    </rPh>
    <rPh sb="2" eb="4">
      <t>コウシン</t>
    </rPh>
    <phoneticPr fontId="1"/>
  </si>
  <si>
    <t>記載例小規模保育園</t>
    <rPh sb="0" eb="2">
      <t>キサイ</t>
    </rPh>
    <rPh sb="2" eb="3">
      <t>レイ</t>
    </rPh>
    <rPh sb="3" eb="6">
      <t>ショウキボ</t>
    </rPh>
    <rPh sb="6" eb="9">
      <t>ホイクエン</t>
    </rPh>
    <phoneticPr fontId="1"/>
  </si>
  <si>
    <t>○○　○○</t>
    <phoneticPr fontId="1"/>
  </si>
  <si>
    <t>○○　○○</t>
    <phoneticPr fontId="1"/>
  </si>
  <si>
    <t>○○　○○</t>
    <phoneticPr fontId="1"/>
  </si>
  <si>
    <t>加算対象者</t>
  </si>
  <si>
    <t>短時間</t>
  </si>
  <si>
    <t>a</t>
    <phoneticPr fontId="1"/>
  </si>
  <si>
    <t>k</t>
    <phoneticPr fontId="1"/>
  </si>
  <si>
    <t>l</t>
    <phoneticPr fontId="1"/>
  </si>
  <si>
    <t>m</t>
    <phoneticPr fontId="1"/>
  </si>
  <si>
    <t>n</t>
    <phoneticPr fontId="1"/>
  </si>
  <si>
    <t>o</t>
    <phoneticPr fontId="1"/>
  </si>
  <si>
    <r>
      <t xml:space="preserve">職務分野別リーダー
</t>
    </r>
    <r>
      <rPr>
        <sz val="6"/>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</si>
  <si>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t>職務分野別リーダー
（保健衛生・安全対策）</t>
    <rPh sb="0" eb="2">
      <t>ショクム</t>
    </rPh>
    <rPh sb="2" eb="4">
      <t>ブンヤ</t>
    </rPh>
    <rPh sb="4" eb="5">
      <t>ベツ</t>
    </rPh>
    <rPh sb="11" eb="13">
      <t>ホケン</t>
    </rPh>
    <rPh sb="13" eb="15">
      <t>エイセイ</t>
    </rPh>
    <rPh sb="16" eb="18">
      <t>アンゼン</t>
    </rPh>
    <rPh sb="18" eb="20">
      <t>タイサク</t>
    </rPh>
    <phoneticPr fontId="1"/>
  </si>
  <si>
    <t>p</t>
    <phoneticPr fontId="1"/>
  </si>
  <si>
    <t>准看護師</t>
    <rPh sb="0" eb="1">
      <t>ジュン</t>
    </rPh>
    <phoneticPr fontId="1"/>
  </si>
  <si>
    <t>主任保育士</t>
    <rPh sb="0" eb="2">
      <t>シュニン</t>
    </rPh>
    <rPh sb="2" eb="4">
      <t>ホイク</t>
    </rPh>
    <rPh sb="4" eb="5">
      <t>シ</t>
    </rPh>
    <phoneticPr fontId="1"/>
  </si>
  <si>
    <t>b</t>
    <phoneticPr fontId="1"/>
  </si>
  <si>
    <t>副主任保育士</t>
    <rPh sb="0" eb="6">
      <t>フクシュニンホイクシ</t>
    </rPh>
    <phoneticPr fontId="1"/>
  </si>
  <si>
    <t>c</t>
    <phoneticPr fontId="1"/>
  </si>
  <si>
    <t>専門リーダー</t>
    <rPh sb="0" eb="2">
      <t>センモン</t>
    </rPh>
    <phoneticPr fontId="1"/>
  </si>
  <si>
    <t>d</t>
    <phoneticPr fontId="1"/>
  </si>
  <si>
    <t>職務分野別リーダー
（乳児保育）</t>
    <rPh sb="0" eb="2">
      <t>ショクム</t>
    </rPh>
    <rPh sb="2" eb="4">
      <t>ブンヤ</t>
    </rPh>
    <rPh sb="4" eb="5">
      <t>ベツ</t>
    </rPh>
    <rPh sb="11" eb="13">
      <t>ニュウジ</t>
    </rPh>
    <rPh sb="13" eb="15">
      <t>ホイク</t>
    </rPh>
    <phoneticPr fontId="1"/>
  </si>
  <si>
    <t>e</t>
    <phoneticPr fontId="1"/>
  </si>
  <si>
    <t>f</t>
    <phoneticPr fontId="1"/>
  </si>
  <si>
    <t>職務分野別リーダー
（障がい児保育）</t>
    <rPh sb="0" eb="2">
      <t>ショクム</t>
    </rPh>
    <rPh sb="2" eb="4">
      <t>ブンヤ</t>
    </rPh>
    <rPh sb="4" eb="5">
      <t>ベツ</t>
    </rPh>
    <rPh sb="11" eb="12">
      <t>ショウ</t>
    </rPh>
    <rPh sb="14" eb="15">
      <t>ジ</t>
    </rPh>
    <rPh sb="15" eb="17">
      <t>ホイク</t>
    </rPh>
    <phoneticPr fontId="1"/>
  </si>
  <si>
    <t>g</t>
    <phoneticPr fontId="1"/>
  </si>
  <si>
    <t>h</t>
    <phoneticPr fontId="1"/>
  </si>
  <si>
    <t>i</t>
    <phoneticPr fontId="1"/>
  </si>
  <si>
    <t>j</t>
    <phoneticPr fontId="1"/>
  </si>
  <si>
    <t>B</t>
  </si>
  <si>
    <t>なし</t>
  </si>
  <si>
    <t>子育て支援員</t>
    <rPh sb="0" eb="2">
      <t>コソダ</t>
    </rPh>
    <rPh sb="3" eb="5">
      <t>シエン</t>
    </rPh>
    <rPh sb="5" eb="6">
      <t>イン</t>
    </rPh>
    <phoneticPr fontId="1"/>
  </si>
  <si>
    <t>あり</t>
  </si>
  <si>
    <t>記載例アフタースクール</t>
    <rPh sb="0" eb="3">
      <t>キサイレイ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</si>
</sst>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 numFmtId="182" formatCode="0&quot;人&quot;"/>
    <numFmt numFmtId="183" formatCode="0.0&quot;人&quot;"/>
    <numFmt numFmtId="184" formatCode="0.00_);[Red]\(0.00\)"/>
    <numFmt numFmtId="185" formatCode="0_ "/>
  </numFmts>
  <fonts count="42">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04">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3" fillId="3" borderId="2" xfId="0" applyNumberFormat="1" applyFont="1" applyFill="1" applyBorder="1" applyAlignment="1">
      <alignment horizontal="center" vertical="center"/>
    </xf>
    <xf numFmtId="179" fontId="13"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pplyAlignment="1">
      <alignment horizontal="center" vertical="center"/>
    </xf>
    <xf numFmtId="0" fontId="5" fillId="0" borderId="28" xfId="0" applyFont="1" applyBorder="1" applyAlignment="1">
      <alignment horizontal="right" vertical="center"/>
    </xf>
    <xf numFmtId="0" fontId="5" fillId="0" borderId="28" xfId="0" applyFont="1" applyFill="1" applyBorder="1">
      <alignment vertical="center"/>
    </xf>
    <xf numFmtId="0" fontId="5" fillId="0" borderId="28" xfId="0" applyFont="1" applyFill="1" applyBorder="1" applyAlignment="1">
      <alignment horizontal="center" vertical="center"/>
    </xf>
    <xf numFmtId="0" fontId="5" fillId="0" borderId="28" xfId="0" applyFont="1" applyFill="1" applyBorder="1" applyAlignment="1">
      <alignment horizontal="right" vertical="center"/>
    </xf>
    <xf numFmtId="0" fontId="2" fillId="0" borderId="29" xfId="0" applyFont="1" applyBorder="1">
      <alignment vertical="center"/>
    </xf>
    <xf numFmtId="0" fontId="2" fillId="0" borderId="28" xfId="0" applyFont="1" applyBorder="1">
      <alignment vertical="center"/>
    </xf>
    <xf numFmtId="0" fontId="7" fillId="5" borderId="6"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6" fillId="4" borderId="1" xfId="0" applyFont="1" applyFill="1" applyBorder="1" applyAlignment="1">
      <alignment horizontal="center" vertical="center" wrapText="1"/>
    </xf>
    <xf numFmtId="0" fontId="17"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5"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7" fillId="5" borderId="2" xfId="0" applyFont="1" applyFill="1" applyBorder="1" applyAlignment="1">
      <alignment horizontal="center" vertical="center"/>
    </xf>
    <xf numFmtId="0" fontId="27"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3" fillId="0" borderId="0" xfId="0" applyFont="1" applyAlignment="1">
      <alignment vertical="center"/>
    </xf>
    <xf numFmtId="0" fontId="6" fillId="6" borderId="1" xfId="0" applyFont="1" applyFill="1" applyBorder="1" applyAlignment="1">
      <alignment horizontal="center" vertical="center" wrapText="1" shrinkToFit="1"/>
    </xf>
    <xf numFmtId="0" fontId="18"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2" xfId="0" applyFill="1" applyBorder="1" applyAlignment="1">
      <alignment horizontal="center" vertical="center"/>
    </xf>
    <xf numFmtId="0" fontId="0" fillId="3" borderId="2" xfId="0" applyFill="1" applyBorder="1" applyAlignment="1">
      <alignment horizontal="center" vertical="center"/>
    </xf>
    <xf numFmtId="0" fontId="28" fillId="0" borderId="0" xfId="0" applyFont="1" applyFill="1" applyBorder="1" applyAlignment="1">
      <alignment horizontal="left" vertical="center"/>
    </xf>
    <xf numFmtId="0" fontId="22" fillId="0" borderId="31" xfId="0" applyFont="1" applyBorder="1" applyAlignment="1">
      <alignment vertical="top" wrapText="1"/>
    </xf>
    <xf numFmtId="0" fontId="22" fillId="0" borderId="0" xfId="0" applyFont="1" applyAlignment="1">
      <alignment vertical="top" wrapText="1"/>
    </xf>
    <xf numFmtId="0" fontId="14" fillId="0" borderId="0" xfId="0" applyFont="1" applyAlignment="1">
      <alignment horizontal="right" vertical="center"/>
    </xf>
    <xf numFmtId="179" fontId="13"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6" fillId="0" borderId="0" xfId="0" applyFont="1" applyFill="1" applyAlignment="1">
      <alignment vertical="center" shrinkToFit="1"/>
    </xf>
    <xf numFmtId="0" fontId="24" fillId="0" borderId="0" xfId="0" applyFont="1" applyAlignment="1">
      <alignment horizontal="left" vertical="center"/>
    </xf>
    <xf numFmtId="178" fontId="13"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0" fillId="0" borderId="0" xfId="0" applyFont="1" applyAlignment="1">
      <alignment horizontal="left" vertical="center"/>
    </xf>
    <xf numFmtId="0" fontId="31"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6"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4" xfId="0" applyFont="1" applyBorder="1">
      <alignment vertical="center"/>
    </xf>
    <xf numFmtId="0" fontId="24" fillId="0" borderId="0" xfId="0" applyFont="1" applyAlignment="1">
      <alignment horizontal="right" vertical="center"/>
    </xf>
    <xf numFmtId="0" fontId="13" fillId="0" borderId="0" xfId="0" applyFont="1" applyBorder="1" applyAlignment="1">
      <alignment vertical="center" shrinkToFit="1"/>
    </xf>
    <xf numFmtId="0" fontId="26" fillId="0" borderId="22" xfId="0" applyFont="1" applyBorder="1" applyAlignment="1">
      <alignment wrapText="1" shrinkToFit="1"/>
    </xf>
    <xf numFmtId="0" fontId="0" fillId="4" borderId="1" xfId="0" applyFill="1" applyBorder="1">
      <alignment vertical="center"/>
    </xf>
    <xf numFmtId="0" fontId="34"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0" xfId="0" applyFill="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6" fillId="0" borderId="0" xfId="0" applyNumberFormat="1" applyFont="1" applyBorder="1" applyAlignment="1">
      <alignment horizontal="right" vertical="center"/>
    </xf>
    <xf numFmtId="181" fontId="6" fillId="0" borderId="0" xfId="0" applyNumberFormat="1" applyFont="1" applyAlignment="1"/>
    <xf numFmtId="0" fontId="0" fillId="0" borderId="0" xfId="0" applyAlignment="1">
      <alignment horizontal="center" vertical="center"/>
    </xf>
    <xf numFmtId="0" fontId="40"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8"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0" fontId="17" fillId="0" borderId="38"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79" fontId="0" fillId="0" borderId="0" xfId="0" applyNumberFormat="1">
      <alignment vertical="center"/>
    </xf>
    <xf numFmtId="180" fontId="0" fillId="0" borderId="0" xfId="0" applyNumberFormat="1">
      <alignment vertical="center"/>
    </xf>
    <xf numFmtId="0" fontId="0" fillId="3" borderId="0" xfId="0" applyNumberFormat="1" applyFill="1" applyBorder="1" applyAlignment="1">
      <alignment horizontal="center" vertical="center"/>
    </xf>
    <xf numFmtId="0" fontId="10" fillId="9" borderId="2" xfId="0" applyFont="1" applyFill="1" applyBorder="1" applyAlignment="1">
      <alignment horizontal="center" vertical="center"/>
    </xf>
    <xf numFmtId="0" fontId="41" fillId="9" borderId="13" xfId="0" applyFont="1" applyFill="1" applyBorder="1" applyAlignment="1">
      <alignment horizontal="center" vertical="center"/>
    </xf>
    <xf numFmtId="184" fontId="0" fillId="0" borderId="1" xfId="0" applyNumberFormat="1" applyBorder="1">
      <alignment vertical="center"/>
    </xf>
    <xf numFmtId="185" fontId="0" fillId="0" borderId="0" xfId="0" applyNumberFormat="1">
      <alignment vertical="center"/>
    </xf>
    <xf numFmtId="0" fontId="2" fillId="4" borderId="18" xfId="0" applyFont="1" applyFill="1" applyBorder="1" applyAlignment="1">
      <alignment horizontal="center" vertical="center"/>
    </xf>
    <xf numFmtId="0" fontId="1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8" xfId="0" applyFont="1" applyFill="1" applyBorder="1" applyAlignment="1">
      <alignment horizontal="center" vertical="center" wrapText="1" shrinkToFi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wrapText="1"/>
    </xf>
    <xf numFmtId="0" fontId="5" fillId="5" borderId="1"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0" xfId="0" applyFont="1" applyFill="1" applyBorder="1" applyAlignment="1">
      <alignment vertical="center" shrinkToFit="1"/>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18" xfId="0" applyFont="1" applyFill="1" applyBorder="1" applyAlignment="1">
      <alignment vertical="center" shrinkToFit="1"/>
    </xf>
    <xf numFmtId="0" fontId="21" fillId="5" borderId="39" xfId="0" applyFont="1" applyFill="1" applyBorder="1" applyAlignment="1">
      <alignment horizontal="center" vertical="center" shrinkToFit="1"/>
    </xf>
    <xf numFmtId="0" fontId="2" fillId="4" borderId="39" xfId="0" applyFont="1" applyFill="1" applyBorder="1" applyAlignment="1">
      <alignment horizontal="center" vertical="center"/>
    </xf>
    <xf numFmtId="0" fontId="7" fillId="0" borderId="40" xfId="0" applyFont="1" applyFill="1" applyBorder="1" applyAlignment="1">
      <alignment vertical="center" shrinkToFit="1"/>
    </xf>
    <xf numFmtId="176" fontId="0" fillId="0" borderId="0" xfId="0" applyNumberFormat="1" applyFill="1" applyBorder="1" applyAlignment="1">
      <alignment horizontal="center" vertical="center"/>
    </xf>
    <xf numFmtId="0" fontId="0" fillId="0" borderId="1" xfId="0" applyBorder="1" applyAlignment="1">
      <alignment vertical="center" wrapText="1"/>
    </xf>
    <xf numFmtId="0" fontId="5" fillId="4" borderId="1" xfId="0" applyFont="1" applyFill="1" applyBorder="1" applyAlignment="1">
      <alignment horizontal="center" vertical="center"/>
    </xf>
    <xf numFmtId="0" fontId="17" fillId="5" borderId="1" xfId="0" applyFont="1" applyFill="1" applyBorder="1" applyAlignment="1">
      <alignment horizontal="center" vertical="center" shrinkToFit="1"/>
    </xf>
    <xf numFmtId="0" fontId="7" fillId="5" borderId="1" xfId="0" applyFont="1" applyFill="1" applyBorder="1" applyAlignment="1">
      <alignment horizontal="center" vertical="center" wrapText="1" shrinkToFit="1"/>
    </xf>
    <xf numFmtId="0" fontId="37"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5"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6" xfId="0" applyNumberFormat="1" applyFill="1" applyBorder="1" applyAlignment="1">
      <alignment horizontal="center" vertical="center"/>
    </xf>
    <xf numFmtId="0" fontId="0" fillId="0" borderId="18" xfId="0"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183" fontId="0" fillId="0" borderId="17" xfId="0" applyNumberFormat="1" applyFill="1"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4" borderId="0" xfId="0" applyFont="1" applyFill="1" applyBorder="1" applyAlignment="1">
      <alignment horizontal="center" vertical="center"/>
    </xf>
    <xf numFmtId="0" fontId="7" fillId="4" borderId="0"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18" xfId="0" applyFont="1" applyFill="1" applyBorder="1" applyAlignment="1">
      <alignment horizontal="center" vertical="center"/>
    </xf>
    <xf numFmtId="0" fontId="0" fillId="0" borderId="1" xfId="0" applyBorder="1" applyAlignment="1">
      <alignment horizontal="center" vertical="center"/>
    </xf>
    <xf numFmtId="176" fontId="0" fillId="0" borderId="0"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8" fillId="0" borderId="6" xfId="0" applyFont="1" applyBorder="1" applyAlignment="1">
      <alignment horizontal="center" vertical="center" wrapText="1"/>
    </xf>
    <xf numFmtId="0" fontId="17"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3" xfId="0" applyBorder="1" applyAlignment="1">
      <alignment vertical="center" shrinkToFit="1"/>
    </xf>
    <xf numFmtId="0" fontId="17" fillId="0" borderId="6" xfId="0" applyFont="1" applyBorder="1" applyAlignment="1">
      <alignment horizontal="center" vertical="center" wrapTex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176" fontId="0" fillId="3" borderId="14" xfId="0" applyNumberFormat="1" applyFill="1" applyBorder="1" applyAlignment="1">
      <alignment horizontal="center" vertical="center"/>
    </xf>
    <xf numFmtId="0" fontId="38" fillId="0" borderId="0" xfId="0" applyFont="1" applyAlignment="1">
      <alignment horizontal="center" vertical="center"/>
    </xf>
    <xf numFmtId="0" fontId="0" fillId="4" borderId="24"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23" xfId="0" applyFill="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1" fillId="3" borderId="12" xfId="0" applyNumberFormat="1" applyFont="1" applyFill="1" applyBorder="1" applyAlignment="1">
      <alignment horizontal="center" vertical="center"/>
    </xf>
    <xf numFmtId="176" fontId="21" fillId="3" borderId="13" xfId="0" applyNumberFormat="1" applyFont="1" applyFill="1" applyBorder="1" applyAlignment="1">
      <alignment horizontal="center" vertical="center"/>
    </xf>
    <xf numFmtId="0" fontId="21" fillId="3" borderId="12"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13" xfId="0" applyFont="1" applyFill="1" applyBorder="1" applyAlignment="1">
      <alignment horizontal="center" vertical="center"/>
    </xf>
    <xf numFmtId="0" fontId="37"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1" fillId="0" borderId="28" xfId="0" applyFont="1" applyBorder="1" applyAlignment="1">
      <alignment horizontal="left" vertical="center"/>
    </xf>
    <xf numFmtId="0" fontId="0" fillId="0" borderId="28" xfId="0" applyFont="1" applyBorder="1" applyAlignment="1">
      <alignment horizontal="center" vertical="center"/>
    </xf>
    <xf numFmtId="0" fontId="5" fillId="4" borderId="1" xfId="0" applyFont="1" applyFill="1" applyBorder="1" applyAlignment="1">
      <alignment horizontal="center" vertical="center"/>
    </xf>
    <xf numFmtId="0" fontId="14" fillId="0" borderId="0" xfId="0" applyFont="1" applyAlignment="1">
      <alignment horizontal="center" vertical="center" shrinkToFit="1"/>
    </xf>
    <xf numFmtId="0" fontId="2" fillId="4" borderId="1" xfId="0" applyFont="1" applyFill="1" applyBorder="1" applyAlignment="1">
      <alignment horizontal="center" vertical="center"/>
    </xf>
    <xf numFmtId="0" fontId="26"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6" fillId="0" borderId="31" xfId="0" applyFont="1" applyBorder="1" applyAlignment="1">
      <alignment horizontal="right" wrapText="1" shrinkToFit="1"/>
    </xf>
    <xf numFmtId="0" fontId="26"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3" xfId="0" applyFont="1" applyBorder="1" applyAlignment="1">
      <alignment horizontal="center" vertical="center" shrinkToFit="1"/>
    </xf>
    <xf numFmtId="0" fontId="0" fillId="0" borderId="0" xfId="0" applyAlignment="1">
      <alignment horizontal="left" vertical="center"/>
    </xf>
    <xf numFmtId="0" fontId="0" fillId="0" borderId="0" xfId="0" applyAlignment="1">
      <alignment horizontal="left" vertical="center" wrapText="1"/>
    </xf>
    <xf numFmtId="0" fontId="23" fillId="0" borderId="0" xfId="0" applyFont="1" applyAlignment="1">
      <alignment horizontal="left" vertical="center"/>
    </xf>
    <xf numFmtId="181" fontId="39" fillId="8" borderId="12" xfId="0" applyNumberFormat="1" applyFont="1" applyFill="1" applyBorder="1" applyAlignment="1">
      <alignment horizontal="center" vertical="center"/>
    </xf>
    <xf numFmtId="181" fontId="39" fillId="8" borderId="13" xfId="0" applyNumberFormat="1" applyFont="1" applyFill="1" applyBorder="1" applyAlignment="1">
      <alignment horizontal="center" vertical="center"/>
    </xf>
  </cellXfs>
  <cellStyles count="2">
    <cellStyle name="パーセント" xfId="1" builtinId="5"/>
    <cellStyle name="標準" xfId="0" builtinId="0"/>
  </cellStyles>
  <dxfs count="29">
    <dxf>
      <fill>
        <patternFill>
          <bgColor theme="0" tint="-0.499984740745262"/>
        </patternFill>
      </fill>
    </dxf>
    <dxf>
      <fill>
        <patternFill>
          <bgColor theme="0" tint="-0.499984740745262"/>
        </patternFill>
      </fill>
    </dxf>
    <dxf>
      <fill>
        <patternFill>
          <bgColor theme="0"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patternType="none">
          <bgColor auto="1"/>
        </patternFill>
      </fill>
    </dxf>
    <dxf>
      <fill>
        <patternFill>
          <bgColor theme="6" tint="0.79998168889431442"/>
        </patternFill>
      </fill>
    </dxf>
    <dxf>
      <fill>
        <patternFill>
          <bgColor theme="0" tint="-0.49998474074526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685545</xdr:colOff>
      <xdr:row>0</xdr:row>
      <xdr:rowOff>53200</xdr:rowOff>
    </xdr:from>
    <xdr:to>
      <xdr:col>15</xdr:col>
      <xdr:colOff>188015</xdr:colOff>
      <xdr:row>1</xdr:row>
      <xdr:rowOff>38547</xdr:rowOff>
    </xdr:to>
    <xdr:sp macro="" textlink="">
      <xdr:nvSpPr>
        <xdr:cNvPr id="2" name="正方形/長方形 1"/>
        <xdr:cNvSpPr/>
      </xdr:nvSpPr>
      <xdr:spPr>
        <a:xfrm>
          <a:off x="8073632" y="53200"/>
          <a:ext cx="976774"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578219" y="9176308"/>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379837" y="9568804"/>
          <a:ext cx="2542537" cy="172221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view="pageBreakPreview" zoomScale="145" zoomScaleNormal="100" zoomScaleSheetLayoutView="145" workbookViewId="0">
      <selection activeCell="B3" sqref="B3"/>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208" t="str">
        <f>"教育・保育給付に係る加算等確認表（"&amp;A9&amp;")"</f>
        <v>教育・保育給付に係る加算等確認表（小規模保育事業A型)</v>
      </c>
      <c r="B1" s="208"/>
      <c r="C1" s="208"/>
      <c r="D1" s="208"/>
      <c r="E1" s="208"/>
      <c r="F1" s="208"/>
      <c r="G1" s="208"/>
      <c r="H1" s="208"/>
      <c r="I1" s="208"/>
      <c r="J1" s="10"/>
    </row>
    <row r="2" spans="1:14">
      <c r="J2" s="167">
        <f>改修履歴!A1</f>
        <v>0.99</v>
      </c>
      <c r="M2" s="59" t="s">
        <v>133</v>
      </c>
      <c r="N2" s="45">
        <f>COUNTIF(J4:J8,"〇")</f>
        <v>3</v>
      </c>
    </row>
    <row r="3" spans="1:14" ht="19.5" thickBot="1">
      <c r="A3" t="s">
        <v>162</v>
      </c>
      <c r="E3" s="216" t="s">
        <v>117</v>
      </c>
      <c r="F3" s="216"/>
      <c r="G3" s="216"/>
      <c r="H3" s="216"/>
      <c r="I3" s="216"/>
      <c r="J3" s="216"/>
      <c r="M3" s="60"/>
      <c r="N3" s="45"/>
    </row>
    <row r="4" spans="1:14" ht="19.5" thickBot="1">
      <c r="A4" s="209">
        <v>45383</v>
      </c>
      <c r="B4" s="210"/>
      <c r="C4" t="s">
        <v>18</v>
      </c>
      <c r="D4" s="18"/>
      <c r="E4" s="217" t="s">
        <v>20</v>
      </c>
      <c r="F4" s="217"/>
      <c r="G4" s="218"/>
      <c r="H4" s="218"/>
      <c r="I4" s="218"/>
      <c r="J4" s="17" t="s">
        <v>54</v>
      </c>
      <c r="M4" s="18" t="s">
        <v>84</v>
      </c>
      <c r="N4" s="45">
        <f>IF(N2&gt;1,1,0)</f>
        <v>1</v>
      </c>
    </row>
    <row r="5" spans="1:14" ht="19.5" thickBot="1">
      <c r="D5" s="18"/>
      <c r="E5" s="217" t="s">
        <v>22</v>
      </c>
      <c r="F5" s="217"/>
      <c r="G5" s="218"/>
      <c r="H5" s="218"/>
      <c r="I5" s="218"/>
      <c r="J5" s="17"/>
    </row>
    <row r="6" spans="1:14" ht="19.5" thickBot="1">
      <c r="A6" s="3" t="s">
        <v>23</v>
      </c>
      <c r="D6" s="18"/>
      <c r="E6" s="217" t="s">
        <v>21</v>
      </c>
      <c r="F6" s="217"/>
      <c r="G6" s="218"/>
      <c r="H6" s="218"/>
      <c r="I6" s="218"/>
      <c r="J6" s="17"/>
    </row>
    <row r="7" spans="1:14" ht="19.5" thickBot="1">
      <c r="A7" s="213" t="s">
        <v>224</v>
      </c>
      <c r="B7" s="214"/>
      <c r="C7" s="215"/>
      <c r="D7" s="18"/>
      <c r="E7" s="217" t="s">
        <v>131</v>
      </c>
      <c r="F7" s="217"/>
      <c r="G7" s="218"/>
      <c r="H7" s="218"/>
      <c r="I7" s="218"/>
      <c r="J7" s="17" t="s">
        <v>54</v>
      </c>
    </row>
    <row r="8" spans="1:14" ht="19.5" thickBot="1">
      <c r="A8" s="116" t="s">
        <v>114</v>
      </c>
      <c r="B8" s="2"/>
      <c r="D8" s="18"/>
      <c r="E8" s="217" t="s">
        <v>132</v>
      </c>
      <c r="F8" s="217"/>
      <c r="G8" s="218"/>
      <c r="H8" s="218"/>
      <c r="I8" s="218"/>
      <c r="J8" s="17" t="s">
        <v>54</v>
      </c>
      <c r="K8" s="4" t="s">
        <v>160</v>
      </c>
    </row>
    <row r="9" spans="1:14" ht="19.5" thickBot="1">
      <c r="A9" s="213" t="s">
        <v>198</v>
      </c>
      <c r="B9" s="214"/>
      <c r="C9" s="215"/>
      <c r="D9" s="19"/>
    </row>
    <row r="10" spans="1:14">
      <c r="A10" s="115"/>
      <c r="B10" s="115"/>
      <c r="D10" s="19"/>
    </row>
    <row r="11" spans="1:14" ht="19.5" thickBot="1">
      <c r="A11" t="s">
        <v>19</v>
      </c>
      <c r="D11" s="19"/>
    </row>
    <row r="12" spans="1:14" ht="19.5" thickBot="1">
      <c r="A12" s="211">
        <v>160</v>
      </c>
      <c r="B12" s="212"/>
      <c r="C12" t="s">
        <v>17</v>
      </c>
      <c r="D12" s="19"/>
    </row>
    <row r="13" spans="1:14">
      <c r="D13" s="19"/>
    </row>
    <row r="15" spans="1:14" ht="19.5" thickBot="1">
      <c r="A15" s="171" t="s">
        <v>119</v>
      </c>
    </row>
    <row r="16" spans="1:14">
      <c r="A16" s="1"/>
      <c r="B16" s="1" t="s">
        <v>0</v>
      </c>
      <c r="C16" s="1" t="s">
        <v>1</v>
      </c>
      <c r="D16" s="1" t="s">
        <v>2</v>
      </c>
      <c r="E16" s="20" t="s">
        <v>3</v>
      </c>
      <c r="F16" s="4"/>
      <c r="G16" s="4"/>
      <c r="H16" s="4"/>
      <c r="I16" s="4"/>
      <c r="K16"/>
    </row>
    <row r="17" spans="1:11" ht="19.5" thickBot="1">
      <c r="A17" s="1" t="s">
        <v>118</v>
      </c>
      <c r="B17" s="12">
        <v>3</v>
      </c>
      <c r="C17" s="12">
        <v>8</v>
      </c>
      <c r="D17" s="12">
        <v>8</v>
      </c>
      <c r="E17" s="164">
        <f>SUM(B17:D17)</f>
        <v>19</v>
      </c>
      <c r="F17" s="4"/>
      <c r="G17" s="4"/>
      <c r="H17" s="4"/>
      <c r="I17" s="4"/>
      <c r="K17"/>
    </row>
    <row r="20" spans="1:11">
      <c r="A20" t="s">
        <v>190</v>
      </c>
    </row>
    <row r="21" spans="1:11">
      <c r="A21" s="159"/>
      <c r="B21" s="1" t="s">
        <v>179</v>
      </c>
      <c r="C21" s="1" t="s">
        <v>180</v>
      </c>
      <c r="D21" s="1" t="s">
        <v>181</v>
      </c>
      <c r="E21" s="1" t="s">
        <v>182</v>
      </c>
      <c r="F21" s="1" t="s">
        <v>183</v>
      </c>
      <c r="G21" s="1" t="s">
        <v>184</v>
      </c>
      <c r="H21" s="1" t="s">
        <v>185</v>
      </c>
      <c r="I21" s="1" t="s">
        <v>186</v>
      </c>
      <c r="J21" s="1" t="s">
        <v>189</v>
      </c>
    </row>
    <row r="22" spans="1:11">
      <c r="A22" s="1" t="s">
        <v>187</v>
      </c>
      <c r="B22" s="12">
        <v>2</v>
      </c>
      <c r="C22" s="12">
        <v>2</v>
      </c>
      <c r="D22" s="12">
        <v>2</v>
      </c>
      <c r="E22" s="12">
        <v>2</v>
      </c>
      <c r="F22" s="12">
        <v>3</v>
      </c>
      <c r="G22" s="12">
        <v>3</v>
      </c>
      <c r="H22" s="12">
        <v>3</v>
      </c>
      <c r="I22" s="12">
        <v>3</v>
      </c>
      <c r="J22" s="163">
        <f>SUM(B22:I22)/8</f>
        <v>2.5</v>
      </c>
    </row>
    <row r="23" spans="1:11">
      <c r="A23" s="1" t="s">
        <v>188</v>
      </c>
      <c r="B23" s="12">
        <v>2</v>
      </c>
      <c r="C23" s="12">
        <v>2</v>
      </c>
      <c r="D23" s="12">
        <v>2</v>
      </c>
      <c r="E23" s="12">
        <v>2</v>
      </c>
      <c r="F23" s="12">
        <v>2</v>
      </c>
      <c r="G23" s="12">
        <v>2</v>
      </c>
      <c r="H23" s="12">
        <v>2</v>
      </c>
      <c r="I23" s="12">
        <v>2</v>
      </c>
      <c r="J23" s="163">
        <f>SUM(B23:I23)/8</f>
        <v>2</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topLeftCell="A7" zoomScale="145" zoomScaleNormal="100" zoomScaleSheetLayoutView="145" workbookViewId="0">
      <selection activeCell="D18" sqref="D18"/>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21" t="str">
        <f>①基本情報!A1</f>
        <v>教育・保育給付に係る加算等確認表（小規模保育事業A型)</v>
      </c>
      <c r="B1" s="221"/>
      <c r="C1" s="221"/>
      <c r="D1" s="221"/>
      <c r="E1" s="221"/>
      <c r="F1" s="221"/>
      <c r="G1" s="221"/>
      <c r="H1" s="8"/>
    </row>
    <row r="2" spans="1:18" ht="9" customHeight="1">
      <c r="A2" s="7"/>
      <c r="B2" s="8"/>
      <c r="C2" s="8"/>
      <c r="D2" s="8"/>
      <c r="E2" s="8"/>
      <c r="F2" s="8"/>
      <c r="G2" s="8"/>
      <c r="H2" s="168">
        <f>改修履歴!A1</f>
        <v>0.99</v>
      </c>
    </row>
    <row r="3" spans="1:18" ht="19.5" thickBot="1">
      <c r="A3" s="3" t="s">
        <v>23</v>
      </c>
      <c r="G3" s="222" t="s">
        <v>162</v>
      </c>
      <c r="H3" s="222"/>
    </row>
    <row r="4" spans="1:18" ht="19.5" thickBot="1">
      <c r="A4" s="223" t="str">
        <f>①基本情報!A7</f>
        <v>記載例小規模保育園</v>
      </c>
      <c r="B4" s="224"/>
      <c r="C4" s="225"/>
      <c r="D4" s="103"/>
      <c r="G4" s="219">
        <f>①基本情報!A4</f>
        <v>45383</v>
      </c>
      <c r="H4" s="220"/>
    </row>
    <row r="5" spans="1:18" ht="8.25" customHeight="1"/>
    <row r="6" spans="1:18">
      <c r="G6" s="9" t="s">
        <v>16</v>
      </c>
      <c r="H6" s="16">
        <v>45383</v>
      </c>
    </row>
    <row r="7" spans="1:18" ht="26.25" thickBot="1">
      <c r="A7" s="5" t="s">
        <v>9</v>
      </c>
      <c r="B7" s="125" t="s">
        <v>15</v>
      </c>
      <c r="C7" s="1" t="s">
        <v>10</v>
      </c>
      <c r="D7" s="125" t="s">
        <v>11</v>
      </c>
      <c r="E7" s="1" t="s">
        <v>12</v>
      </c>
      <c r="F7" s="1" t="s">
        <v>13</v>
      </c>
      <c r="G7" s="120" t="s">
        <v>124</v>
      </c>
      <c r="H7" s="1" t="s">
        <v>14</v>
      </c>
    </row>
    <row r="8" spans="1:18" ht="12" customHeight="1" thickBot="1">
      <c r="A8" s="5">
        <v>1</v>
      </c>
      <c r="B8" s="11">
        <f>IF(D8="","",(DATEDIF(D8,$H$6,"Y")))</f>
        <v>0</v>
      </c>
      <c r="C8" s="13" t="s">
        <v>226</v>
      </c>
      <c r="D8" s="14">
        <v>45082</v>
      </c>
      <c r="E8" s="13" t="s">
        <v>93</v>
      </c>
      <c r="F8" s="13" t="s">
        <v>41</v>
      </c>
      <c r="G8" s="126"/>
      <c r="H8" s="15"/>
      <c r="J8" s="24"/>
      <c r="K8" s="24">
        <v>0</v>
      </c>
      <c r="L8" s="24">
        <v>1</v>
      </c>
      <c r="M8" s="24">
        <v>2</v>
      </c>
      <c r="N8" s="24">
        <v>3</v>
      </c>
      <c r="O8" s="24">
        <v>4</v>
      </c>
      <c r="P8" s="25">
        <v>5</v>
      </c>
      <c r="Q8" s="26" t="s">
        <v>3</v>
      </c>
      <c r="R8" s="37"/>
    </row>
    <row r="9" spans="1:18" ht="12" customHeight="1">
      <c r="A9" s="5">
        <v>2</v>
      </c>
      <c r="B9" s="11">
        <f t="shared" ref="B9:B47" si="0">IF(D9="","",(DATEDIF(D9,$H$6,"Y")))</f>
        <v>0</v>
      </c>
      <c r="C9" s="13" t="s">
        <v>226</v>
      </c>
      <c r="D9" s="14">
        <v>45083</v>
      </c>
      <c r="E9" s="13" t="s">
        <v>93</v>
      </c>
      <c r="F9" s="13" t="s">
        <v>41</v>
      </c>
      <c r="G9" s="126"/>
      <c r="H9" s="15"/>
      <c r="J9" s="24" t="s">
        <v>94</v>
      </c>
      <c r="K9" s="27"/>
      <c r="L9" s="27"/>
      <c r="M9" s="27">
        <f>COUNTIFS($B$8:$B$47,M$8,$E$8:$E$47,$J9)</f>
        <v>0</v>
      </c>
      <c r="N9" s="30">
        <f>COUNTIFS($B$8:$B$47,N$8,$E$8:$E$47,$J9)</f>
        <v>0</v>
      </c>
      <c r="O9" s="30">
        <f>COUNTIFS($B$8:$B$47,O$8,$E$8:$E$47,$J9)</f>
        <v>0</v>
      </c>
      <c r="P9" s="30">
        <f>COUNTIFS($B$8:$B$47,P$8,$E$8:$E$47,$J9)</f>
        <v>0</v>
      </c>
      <c r="Q9" s="28">
        <f>SUM(K9:P9)</f>
        <v>0</v>
      </c>
      <c r="R9" s="226">
        <f>(SUM(Q9:Q10)/SUM(①基本情報!E17))</f>
        <v>0.89473684210526316</v>
      </c>
    </row>
    <row r="10" spans="1:18" ht="12" customHeight="1" thickBot="1">
      <c r="A10" s="5">
        <v>3</v>
      </c>
      <c r="B10" s="11">
        <f t="shared" si="0"/>
        <v>1</v>
      </c>
      <c r="C10" s="13" t="s">
        <v>226</v>
      </c>
      <c r="D10" s="14">
        <v>44719</v>
      </c>
      <c r="E10" s="13" t="s">
        <v>93</v>
      </c>
      <c r="F10" s="13" t="s">
        <v>41</v>
      </c>
      <c r="G10" s="126"/>
      <c r="H10" s="15"/>
      <c r="J10" s="29" t="s">
        <v>95</v>
      </c>
      <c r="K10" s="27">
        <f>COUNTIFS($B$8:$B$47,K$8,$E$8:$E$47,$J10)</f>
        <v>2</v>
      </c>
      <c r="L10" s="27">
        <f>COUNTIFS($B$8:$B$47,L$8,$E$8:$E$47,$J10)</f>
        <v>6</v>
      </c>
      <c r="M10" s="27">
        <f>COUNTIFS($B$8:$B$47,M$8,$E$8:$E$47,$J10)</f>
        <v>9</v>
      </c>
      <c r="N10" s="30"/>
      <c r="O10" s="30"/>
      <c r="P10" s="31"/>
      <c r="Q10" s="32">
        <f t="shared" ref="Q10:Q11" si="1">SUM(K10:P10)</f>
        <v>17</v>
      </c>
      <c r="R10" s="227"/>
    </row>
    <row r="11" spans="1:18" ht="12" customHeight="1" thickBot="1">
      <c r="A11" s="5">
        <v>4</v>
      </c>
      <c r="B11" s="11">
        <f t="shared" si="0"/>
        <v>1</v>
      </c>
      <c r="C11" s="13" t="s">
        <v>226</v>
      </c>
      <c r="D11" s="14">
        <v>44720</v>
      </c>
      <c r="E11" s="13" t="s">
        <v>93</v>
      </c>
      <c r="F11" s="13" t="s">
        <v>41</v>
      </c>
      <c r="G11" s="126"/>
      <c r="H11" s="15"/>
      <c r="J11" s="33" t="s">
        <v>3</v>
      </c>
      <c r="K11" s="34">
        <f t="shared" ref="K11:P11" si="2">SUM(K9:K10)</f>
        <v>2</v>
      </c>
      <c r="L11" s="34">
        <f t="shared" si="2"/>
        <v>6</v>
      </c>
      <c r="M11" s="34">
        <f t="shared" si="2"/>
        <v>9</v>
      </c>
      <c r="N11" s="34">
        <f t="shared" si="2"/>
        <v>0</v>
      </c>
      <c r="O11" s="34">
        <f t="shared" si="2"/>
        <v>0</v>
      </c>
      <c r="P11" s="35">
        <f t="shared" si="2"/>
        <v>0</v>
      </c>
      <c r="Q11" s="36">
        <f t="shared" si="1"/>
        <v>17</v>
      </c>
      <c r="R11" s="37"/>
    </row>
    <row r="12" spans="1:18" ht="12" customHeight="1">
      <c r="A12" s="5">
        <v>5</v>
      </c>
      <c r="B12" s="11">
        <f t="shared" si="0"/>
        <v>1</v>
      </c>
      <c r="C12" s="13" t="s">
        <v>227</v>
      </c>
      <c r="D12" s="14">
        <v>44721</v>
      </c>
      <c r="E12" s="13" t="s">
        <v>93</v>
      </c>
      <c r="F12" s="13" t="s">
        <v>41</v>
      </c>
      <c r="G12" s="126"/>
      <c r="H12" s="15"/>
    </row>
    <row r="13" spans="1:18" ht="12" customHeight="1" thickBot="1">
      <c r="A13" s="5">
        <v>6</v>
      </c>
      <c r="B13" s="11">
        <f t="shared" si="0"/>
        <v>1</v>
      </c>
      <c r="C13" s="13" t="s">
        <v>226</v>
      </c>
      <c r="D13" s="14">
        <v>44722</v>
      </c>
      <c r="E13" s="13" t="s">
        <v>93</v>
      </c>
      <c r="F13" s="13" t="s">
        <v>41</v>
      </c>
      <c r="G13" s="126"/>
      <c r="H13" s="15"/>
      <c r="J13" s="129" t="s">
        <v>150</v>
      </c>
    </row>
    <row r="14" spans="1:18" ht="12" customHeight="1" thickBot="1">
      <c r="A14" s="5">
        <v>7</v>
      </c>
      <c r="B14" s="11">
        <f t="shared" si="0"/>
        <v>1</v>
      </c>
      <c r="C14" s="13" t="s">
        <v>227</v>
      </c>
      <c r="D14" s="14">
        <v>44723</v>
      </c>
      <c r="E14" s="13" t="s">
        <v>93</v>
      </c>
      <c r="F14" s="13" t="s">
        <v>41</v>
      </c>
      <c r="G14" s="126" t="s">
        <v>228</v>
      </c>
      <c r="H14" s="15"/>
      <c r="J14" s="24"/>
      <c r="K14" s="24">
        <v>0</v>
      </c>
      <c r="L14" s="24">
        <v>1</v>
      </c>
      <c r="M14" s="24">
        <v>2</v>
      </c>
      <c r="N14" s="24">
        <v>3</v>
      </c>
      <c r="O14" s="24">
        <v>4</v>
      </c>
      <c r="P14" s="25">
        <v>5</v>
      </c>
      <c r="Q14" s="26" t="s">
        <v>3</v>
      </c>
    </row>
    <row r="15" spans="1:18" ht="12" customHeight="1" thickBot="1">
      <c r="A15" s="5">
        <v>8</v>
      </c>
      <c r="B15" s="11">
        <f t="shared" si="0"/>
        <v>1</v>
      </c>
      <c r="C15" s="13" t="s">
        <v>226</v>
      </c>
      <c r="D15" s="14">
        <v>44724</v>
      </c>
      <c r="E15" s="13" t="s">
        <v>93</v>
      </c>
      <c r="F15" s="13" t="s">
        <v>229</v>
      </c>
      <c r="G15" s="126"/>
      <c r="H15" s="15"/>
      <c r="J15" s="33" t="s">
        <v>3</v>
      </c>
      <c r="K15" s="34">
        <f>COUNTIFS($B$8:$B$47,K14,$G$8:$G$47,"加算対象者")</f>
        <v>0</v>
      </c>
      <c r="L15" s="34">
        <f t="shared" ref="L15:P15" si="3">COUNTIFS($B$8:$B$47,L14,$G$8:$G$47,"加算対象者")</f>
        <v>1</v>
      </c>
      <c r="M15" s="34">
        <f t="shared" si="3"/>
        <v>1</v>
      </c>
      <c r="N15" s="34">
        <f t="shared" si="3"/>
        <v>0</v>
      </c>
      <c r="O15" s="34">
        <f t="shared" si="3"/>
        <v>0</v>
      </c>
      <c r="P15" s="35">
        <f t="shared" si="3"/>
        <v>0</v>
      </c>
      <c r="Q15" s="36">
        <f t="shared" ref="Q15" si="4">SUM(K15:P15)</f>
        <v>2</v>
      </c>
    </row>
    <row r="16" spans="1:18" ht="12" customHeight="1">
      <c r="A16" s="5">
        <v>9</v>
      </c>
      <c r="B16" s="11">
        <f t="shared" si="0"/>
        <v>2</v>
      </c>
      <c r="C16" s="13" t="s">
        <v>225</v>
      </c>
      <c r="D16" s="14">
        <v>44360</v>
      </c>
      <c r="E16" s="13" t="s">
        <v>93</v>
      </c>
      <c r="F16" s="13" t="s">
        <v>41</v>
      </c>
      <c r="G16" s="126"/>
      <c r="H16" s="15"/>
    </row>
    <row r="17" spans="1:17" ht="12" customHeight="1" thickBot="1">
      <c r="A17" s="5">
        <v>10</v>
      </c>
      <c r="B17" s="11">
        <f t="shared" si="0"/>
        <v>2</v>
      </c>
      <c r="C17" s="13" t="s">
        <v>225</v>
      </c>
      <c r="D17" s="14">
        <v>44361</v>
      </c>
      <c r="E17" s="13" t="s">
        <v>93</v>
      </c>
      <c r="F17" s="13" t="s">
        <v>41</v>
      </c>
      <c r="G17" s="126"/>
      <c r="H17" s="15"/>
      <c r="J17" s="129" t="s">
        <v>149</v>
      </c>
    </row>
    <row r="18" spans="1:17" ht="12" customHeight="1" thickBot="1">
      <c r="A18" s="5">
        <v>11</v>
      </c>
      <c r="B18" s="11">
        <f t="shared" si="0"/>
        <v>2</v>
      </c>
      <c r="C18" s="13" t="s">
        <v>225</v>
      </c>
      <c r="D18" s="14">
        <v>44362</v>
      </c>
      <c r="E18" s="13" t="s">
        <v>93</v>
      </c>
      <c r="F18" s="13" t="s">
        <v>41</v>
      </c>
      <c r="G18" s="126"/>
      <c r="H18" s="15"/>
      <c r="J18" s="24"/>
      <c r="K18" s="24">
        <v>0</v>
      </c>
      <c r="L18" s="24">
        <v>1</v>
      </c>
      <c r="M18" s="24">
        <v>2</v>
      </c>
      <c r="N18" s="24">
        <v>3</v>
      </c>
      <c r="O18" s="24">
        <v>4</v>
      </c>
      <c r="P18" s="25">
        <v>5</v>
      </c>
      <c r="Q18" s="26" t="s">
        <v>3</v>
      </c>
    </row>
    <row r="19" spans="1:17" ht="12" customHeight="1" thickBot="1">
      <c r="A19" s="5">
        <v>12</v>
      </c>
      <c r="B19" s="11">
        <f t="shared" si="0"/>
        <v>2</v>
      </c>
      <c r="C19" s="13" t="s">
        <v>225</v>
      </c>
      <c r="D19" s="14">
        <v>44363</v>
      </c>
      <c r="E19" s="13" t="s">
        <v>93</v>
      </c>
      <c r="F19" s="13" t="s">
        <v>41</v>
      </c>
      <c r="G19" s="126"/>
      <c r="H19" s="15"/>
      <c r="J19" s="33" t="s">
        <v>3</v>
      </c>
      <c r="K19" s="34">
        <f>K11-K15</f>
        <v>2</v>
      </c>
      <c r="L19" s="34">
        <f t="shared" ref="L19:P19" si="5">L11-L15</f>
        <v>5</v>
      </c>
      <c r="M19" s="34">
        <f t="shared" si="5"/>
        <v>8</v>
      </c>
      <c r="N19" s="34">
        <f t="shared" si="5"/>
        <v>0</v>
      </c>
      <c r="O19" s="34">
        <f t="shared" si="5"/>
        <v>0</v>
      </c>
      <c r="P19" s="35">
        <f t="shared" si="5"/>
        <v>0</v>
      </c>
      <c r="Q19" s="36">
        <f t="shared" ref="Q19" si="6">SUM(K19:P19)</f>
        <v>15</v>
      </c>
    </row>
    <row r="20" spans="1:17" ht="12" customHeight="1">
      <c r="A20" s="5">
        <v>13</v>
      </c>
      <c r="B20" s="11">
        <f t="shared" si="0"/>
        <v>2</v>
      </c>
      <c r="C20" s="13" t="s">
        <v>225</v>
      </c>
      <c r="D20" s="14">
        <v>44364</v>
      </c>
      <c r="E20" s="13" t="s">
        <v>93</v>
      </c>
      <c r="F20" s="13" t="s">
        <v>41</v>
      </c>
      <c r="G20" s="126"/>
      <c r="H20" s="15"/>
    </row>
    <row r="21" spans="1:17" ht="12" customHeight="1">
      <c r="A21" s="5">
        <v>14</v>
      </c>
      <c r="B21" s="11">
        <f t="shared" si="0"/>
        <v>2</v>
      </c>
      <c r="C21" s="13" t="s">
        <v>225</v>
      </c>
      <c r="D21" s="14">
        <v>44365</v>
      </c>
      <c r="E21" s="13" t="s">
        <v>93</v>
      </c>
      <c r="F21" s="13" t="s">
        <v>41</v>
      </c>
      <c r="G21" s="126"/>
      <c r="H21" s="15"/>
    </row>
    <row r="22" spans="1:17" ht="12" customHeight="1">
      <c r="A22" s="5">
        <v>15</v>
      </c>
      <c r="B22" s="11">
        <f t="shared" si="0"/>
        <v>2</v>
      </c>
      <c r="C22" s="13" t="s">
        <v>225</v>
      </c>
      <c r="D22" s="14">
        <v>44366</v>
      </c>
      <c r="E22" s="13" t="s">
        <v>93</v>
      </c>
      <c r="F22" s="13" t="s">
        <v>41</v>
      </c>
      <c r="G22" s="126" t="s">
        <v>228</v>
      </c>
      <c r="H22" s="15"/>
    </row>
    <row r="23" spans="1:17" ht="12" customHeight="1">
      <c r="A23" s="5">
        <v>16</v>
      </c>
      <c r="B23" s="11">
        <f t="shared" si="0"/>
        <v>2</v>
      </c>
      <c r="C23" s="13" t="s">
        <v>225</v>
      </c>
      <c r="D23" s="14">
        <v>44367</v>
      </c>
      <c r="E23" s="13" t="s">
        <v>93</v>
      </c>
      <c r="F23" s="13" t="s">
        <v>229</v>
      </c>
      <c r="G23" s="126"/>
      <c r="H23" s="15"/>
    </row>
    <row r="24" spans="1:17" ht="12" customHeight="1">
      <c r="A24" s="5">
        <v>17</v>
      </c>
      <c r="B24" s="11">
        <f t="shared" si="0"/>
        <v>2</v>
      </c>
      <c r="C24" s="13" t="s">
        <v>225</v>
      </c>
      <c r="D24" s="14">
        <v>44368</v>
      </c>
      <c r="E24" s="13" t="s">
        <v>93</v>
      </c>
      <c r="F24" s="13" t="s">
        <v>229</v>
      </c>
      <c r="G24" s="126"/>
      <c r="H24" s="15"/>
    </row>
    <row r="25" spans="1:17" ht="12" customHeight="1">
      <c r="A25" s="5">
        <v>18</v>
      </c>
      <c r="B25" s="11" t="str">
        <f t="shared" si="0"/>
        <v/>
      </c>
      <c r="C25" s="13"/>
      <c r="D25" s="14"/>
      <c r="E25" s="13"/>
      <c r="F25" s="13"/>
      <c r="G25" s="126"/>
      <c r="H25" s="15"/>
    </row>
    <row r="26" spans="1:17" ht="12" customHeight="1">
      <c r="A26" s="5">
        <v>19</v>
      </c>
      <c r="B26" s="11" t="str">
        <f t="shared" si="0"/>
        <v/>
      </c>
      <c r="C26" s="13"/>
      <c r="D26" s="14"/>
      <c r="E26" s="13"/>
      <c r="F26" s="13"/>
      <c r="G26" s="126"/>
      <c r="H26" s="15"/>
    </row>
    <row r="27" spans="1:17" ht="12" customHeight="1">
      <c r="A27" s="5">
        <v>20</v>
      </c>
      <c r="B27" s="11" t="str">
        <f t="shared" si="0"/>
        <v/>
      </c>
      <c r="C27" s="13"/>
      <c r="D27" s="14"/>
      <c r="E27" s="13"/>
      <c r="F27" s="13"/>
      <c r="G27" s="126"/>
      <c r="H27" s="15"/>
    </row>
    <row r="28" spans="1:17" ht="12" customHeight="1">
      <c r="A28" s="5">
        <v>21</v>
      </c>
      <c r="B28" s="11" t="str">
        <f t="shared" si="0"/>
        <v/>
      </c>
      <c r="C28" s="13"/>
      <c r="D28" s="14"/>
      <c r="E28" s="13"/>
      <c r="F28" s="13"/>
      <c r="G28" s="126"/>
      <c r="H28" s="15"/>
    </row>
    <row r="29" spans="1:17" ht="12" customHeight="1">
      <c r="A29" s="5">
        <v>22</v>
      </c>
      <c r="B29" s="11" t="str">
        <f t="shared" si="0"/>
        <v/>
      </c>
      <c r="C29" s="13"/>
      <c r="D29" s="14"/>
      <c r="E29" s="13"/>
      <c r="F29" s="13"/>
      <c r="G29" s="126"/>
      <c r="H29" s="15"/>
    </row>
    <row r="30" spans="1:17" ht="12" customHeight="1">
      <c r="A30" s="5">
        <v>23</v>
      </c>
      <c r="B30" s="11" t="str">
        <f t="shared" si="0"/>
        <v/>
      </c>
      <c r="C30" s="13"/>
      <c r="D30" s="14"/>
      <c r="E30" s="13"/>
      <c r="F30" s="13"/>
      <c r="G30" s="126"/>
      <c r="H30" s="15"/>
    </row>
    <row r="31" spans="1:17" ht="12" customHeight="1">
      <c r="A31" s="5">
        <v>24</v>
      </c>
      <c r="B31" s="11" t="str">
        <f t="shared" si="0"/>
        <v/>
      </c>
      <c r="C31" s="13"/>
      <c r="D31" s="14"/>
      <c r="E31" s="13"/>
      <c r="F31" s="13"/>
      <c r="G31" s="126"/>
      <c r="H31" s="15"/>
    </row>
    <row r="32" spans="1:17" ht="12" customHeight="1">
      <c r="A32" s="5">
        <v>25</v>
      </c>
      <c r="B32" s="11" t="str">
        <f t="shared" si="0"/>
        <v/>
      </c>
      <c r="C32" s="13"/>
      <c r="D32" s="14"/>
      <c r="E32" s="13"/>
      <c r="F32" s="13"/>
      <c r="G32" s="126"/>
      <c r="H32" s="15"/>
    </row>
    <row r="33" spans="1:8" ht="12" customHeight="1">
      <c r="A33" s="5">
        <v>26</v>
      </c>
      <c r="B33" s="11" t="str">
        <f t="shared" si="0"/>
        <v/>
      </c>
      <c r="C33" s="13"/>
      <c r="D33" s="14"/>
      <c r="E33" s="13"/>
      <c r="F33" s="13"/>
      <c r="G33" s="126"/>
      <c r="H33" s="15"/>
    </row>
    <row r="34" spans="1:8" ht="12" customHeight="1">
      <c r="A34" s="5">
        <v>27</v>
      </c>
      <c r="B34" s="11" t="str">
        <f t="shared" si="0"/>
        <v/>
      </c>
      <c r="C34" s="13"/>
      <c r="D34" s="14"/>
      <c r="E34" s="13"/>
      <c r="F34" s="13"/>
      <c r="G34" s="126"/>
      <c r="H34" s="15"/>
    </row>
    <row r="35" spans="1:8" ht="12" customHeight="1">
      <c r="A35" s="5">
        <v>28</v>
      </c>
      <c r="B35" s="11" t="str">
        <f t="shared" si="0"/>
        <v/>
      </c>
      <c r="C35" s="13"/>
      <c r="D35" s="14"/>
      <c r="E35" s="13"/>
      <c r="F35" s="13"/>
      <c r="G35" s="126"/>
      <c r="H35" s="15"/>
    </row>
    <row r="36" spans="1:8" ht="12" customHeight="1">
      <c r="A36" s="5">
        <v>29</v>
      </c>
      <c r="B36" s="11" t="str">
        <f t="shared" si="0"/>
        <v/>
      </c>
      <c r="C36" s="13"/>
      <c r="D36" s="14"/>
      <c r="E36" s="13"/>
      <c r="F36" s="13"/>
      <c r="G36" s="126"/>
      <c r="H36" s="15"/>
    </row>
    <row r="37" spans="1:8" ht="12" customHeight="1">
      <c r="A37" s="5">
        <v>30</v>
      </c>
      <c r="B37" s="11" t="str">
        <f t="shared" si="0"/>
        <v/>
      </c>
      <c r="C37" s="13"/>
      <c r="D37" s="14"/>
      <c r="E37" s="13"/>
      <c r="F37" s="13"/>
      <c r="G37" s="126"/>
      <c r="H37" s="15"/>
    </row>
    <row r="38" spans="1:8" ht="12" hidden="1" customHeight="1">
      <c r="A38" s="5">
        <v>31</v>
      </c>
      <c r="B38" s="11" t="str">
        <f t="shared" si="0"/>
        <v/>
      </c>
      <c r="C38" s="13"/>
      <c r="D38" s="14"/>
      <c r="E38" s="13"/>
      <c r="F38" s="13"/>
      <c r="G38" s="126"/>
      <c r="H38" s="15"/>
    </row>
    <row r="39" spans="1:8" ht="12" hidden="1" customHeight="1">
      <c r="A39" s="5">
        <v>32</v>
      </c>
      <c r="B39" s="11" t="str">
        <f t="shared" si="0"/>
        <v/>
      </c>
      <c r="C39" s="13"/>
      <c r="D39" s="14"/>
      <c r="E39" s="13"/>
      <c r="F39" s="13"/>
      <c r="G39" s="126"/>
      <c r="H39" s="15"/>
    </row>
    <row r="40" spans="1:8" ht="12" hidden="1" customHeight="1">
      <c r="A40" s="5">
        <v>33</v>
      </c>
      <c r="B40" s="11" t="str">
        <f t="shared" si="0"/>
        <v/>
      </c>
      <c r="C40" s="13"/>
      <c r="D40" s="14"/>
      <c r="E40" s="13"/>
      <c r="F40" s="13"/>
      <c r="G40" s="126"/>
      <c r="H40" s="15"/>
    </row>
    <row r="41" spans="1:8" ht="12" hidden="1" customHeight="1">
      <c r="A41" s="5">
        <v>34</v>
      </c>
      <c r="B41" s="11" t="str">
        <f t="shared" si="0"/>
        <v/>
      </c>
      <c r="C41" s="13"/>
      <c r="D41" s="14"/>
      <c r="E41" s="13"/>
      <c r="F41" s="13"/>
      <c r="G41" s="126"/>
      <c r="H41" s="15"/>
    </row>
    <row r="42" spans="1:8" ht="12" hidden="1" customHeight="1">
      <c r="A42" s="5">
        <v>35</v>
      </c>
      <c r="B42" s="11" t="str">
        <f t="shared" si="0"/>
        <v/>
      </c>
      <c r="C42" s="13"/>
      <c r="D42" s="14"/>
      <c r="E42" s="13"/>
      <c r="F42" s="13"/>
      <c r="G42" s="126"/>
      <c r="H42" s="15"/>
    </row>
    <row r="43" spans="1:8" ht="12" hidden="1" customHeight="1">
      <c r="A43" s="5">
        <v>36</v>
      </c>
      <c r="B43" s="11" t="str">
        <f t="shared" si="0"/>
        <v/>
      </c>
      <c r="C43" s="13"/>
      <c r="D43" s="14"/>
      <c r="E43" s="13"/>
      <c r="F43" s="13"/>
      <c r="G43" s="126"/>
      <c r="H43" s="15"/>
    </row>
    <row r="44" spans="1:8" ht="12" hidden="1" customHeight="1">
      <c r="A44" s="5">
        <v>37</v>
      </c>
      <c r="B44" s="11" t="str">
        <f t="shared" si="0"/>
        <v/>
      </c>
      <c r="C44" s="13"/>
      <c r="D44" s="14"/>
      <c r="E44" s="13"/>
      <c r="F44" s="13"/>
      <c r="G44" s="126"/>
      <c r="H44" s="15"/>
    </row>
    <row r="45" spans="1:8" ht="12" hidden="1" customHeight="1">
      <c r="A45" s="5">
        <v>38</v>
      </c>
      <c r="B45" s="11" t="str">
        <f t="shared" si="0"/>
        <v/>
      </c>
      <c r="C45" s="13"/>
      <c r="D45" s="14"/>
      <c r="E45" s="13"/>
      <c r="F45" s="13"/>
      <c r="G45" s="126"/>
      <c r="H45" s="15"/>
    </row>
    <row r="46" spans="1:8" ht="12" hidden="1" customHeight="1">
      <c r="A46" s="5">
        <v>39</v>
      </c>
      <c r="B46" s="11" t="str">
        <f t="shared" si="0"/>
        <v/>
      </c>
      <c r="C46" s="13"/>
      <c r="D46" s="14"/>
      <c r="E46" s="13"/>
      <c r="F46" s="13"/>
      <c r="G46" s="126"/>
      <c r="H46" s="15"/>
    </row>
    <row r="47" spans="1:8" ht="12" hidden="1" customHeight="1">
      <c r="A47" s="5">
        <v>40</v>
      </c>
      <c r="B47" s="11" t="str">
        <f t="shared" si="0"/>
        <v/>
      </c>
      <c r="C47" s="13"/>
      <c r="D47" s="14"/>
      <c r="E47" s="13"/>
      <c r="F47" s="13"/>
      <c r="G47" s="126"/>
      <c r="H47" s="15"/>
    </row>
  </sheetData>
  <mergeCells count="5">
    <mergeCell ref="G4:H4"/>
    <mergeCell ref="A1:G1"/>
    <mergeCell ref="G3:H3"/>
    <mergeCell ref="A4:C4"/>
    <mergeCell ref="R9:R10"/>
  </mergeCells>
  <phoneticPr fontId="1"/>
  <conditionalFormatting sqref="G25:G47">
    <cfRule type="expression" dxfId="28" priority="21">
      <formula>$E25="１号認定"</formula>
    </cfRule>
  </conditionalFormatting>
  <conditionalFormatting sqref="B28:H47 B25:E27 G25:H27 H8:H24 B8:B24">
    <cfRule type="expression" dxfId="27" priority="18">
      <formula>$E8="３号認定"</formula>
    </cfRule>
    <cfRule type="expression" dxfId="26" priority="19">
      <formula>$E8="２号認定"</formula>
    </cfRule>
  </conditionalFormatting>
  <conditionalFormatting sqref="B28:F47 B25:E27 B8:B24">
    <cfRule type="expression" dxfId="25" priority="20">
      <formula>$E8="１号認定"</formula>
    </cfRule>
  </conditionalFormatting>
  <conditionalFormatting sqref="F25:F27">
    <cfRule type="expression" dxfId="24" priority="17">
      <formula>$E25="１号認定"</formula>
    </cfRule>
  </conditionalFormatting>
  <conditionalFormatting sqref="F25:F27">
    <cfRule type="expression" dxfId="23" priority="15">
      <formula>$E25="３号認定"</formula>
    </cfRule>
    <cfRule type="expression" dxfId="22" priority="16">
      <formula>$E25="２号認定"</formula>
    </cfRule>
  </conditionalFormatting>
  <conditionalFormatting sqref="G8:G24">
    <cfRule type="expression" dxfId="21" priority="11">
      <formula>$E8="１号認定"</formula>
    </cfRule>
  </conditionalFormatting>
  <conditionalFormatting sqref="G8:G24">
    <cfRule type="expression" dxfId="20" priority="9">
      <formula>$E8="３号認定"</formula>
    </cfRule>
    <cfRule type="expression" dxfId="19" priority="10">
      <formula>$E8="２号認定"</formula>
    </cfRule>
  </conditionalFormatting>
  <conditionalFormatting sqref="F8:F16 F18 F20 F22 F24">
    <cfRule type="expression" dxfId="18" priority="8">
      <formula>$E8="１号認定"</formula>
    </cfRule>
  </conditionalFormatting>
  <conditionalFormatting sqref="E18:F18 E20:F20 E22:F22 E24:F24 C8:F10 C11:C24 D11:F16 D17:D24">
    <cfRule type="expression" dxfId="17" priority="5">
      <formula>$E8="３号認定"</formula>
    </cfRule>
    <cfRule type="expression" dxfId="16" priority="6">
      <formula>$E8="２号認定"</formula>
    </cfRule>
  </conditionalFormatting>
  <conditionalFormatting sqref="E18 E20 E22 E24 C8:E10 C11:C24 D11:E16 D17:D24">
    <cfRule type="expression" dxfId="15" priority="7">
      <formula>$E8="１号認定"</formula>
    </cfRule>
  </conditionalFormatting>
  <conditionalFormatting sqref="F17 F19 F21 F23">
    <cfRule type="expression" dxfId="14" priority="4">
      <formula>$E17="１号認定"</formula>
    </cfRule>
  </conditionalFormatting>
  <conditionalFormatting sqref="E17:F17 E19:F19 E21:F21 E23:F23">
    <cfRule type="expression" dxfId="13" priority="1">
      <formula>$E17="３号認定"</formula>
    </cfRule>
    <cfRule type="expression" dxfId="12" priority="2">
      <formula>$E17="２号認定"</formula>
    </cfRule>
  </conditionalFormatting>
  <conditionalFormatting sqref="E17 E19 E21 E23">
    <cfRule type="expression" dxfId="11" priority="3">
      <formula>$E17="１号認定"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F28:F47 E8:E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8"/>
  <sheetViews>
    <sheetView view="pageBreakPreview" topLeftCell="A7" zoomScale="115" zoomScaleNormal="100" zoomScaleSheetLayoutView="115" workbookViewId="0">
      <selection activeCell="D22" sqref="D22"/>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3" width="7.25" customWidth="1"/>
    <col min="14" max="14" width="9.875" customWidth="1"/>
    <col min="15" max="15" width="9.5" customWidth="1"/>
    <col min="16" max="16" width="7.25" customWidth="1"/>
    <col min="17" max="17" width="4.5" customWidth="1"/>
    <col min="18" max="18" width="9" customWidth="1"/>
    <col min="19" max="22" width="3" customWidth="1"/>
    <col min="23" max="23" width="9" customWidth="1"/>
    <col min="24" max="24" width="9" style="4"/>
    <col min="25" max="25" width="10" customWidth="1"/>
    <col min="26" max="26" width="14" customWidth="1"/>
    <col min="27" max="29" width="5.125" customWidth="1"/>
  </cols>
  <sheetData>
    <row r="1" spans="1:31" ht="24">
      <c r="A1" s="230" t="str">
        <f>①基本情報!A1</f>
        <v>教育・保育給付に係る加算等確認表（小規模保育事業A型)</v>
      </c>
      <c r="B1" s="230"/>
      <c r="C1" s="230"/>
      <c r="D1" s="230"/>
      <c r="E1" s="230"/>
      <c r="F1" s="230"/>
      <c r="G1" s="230"/>
      <c r="H1" s="230"/>
      <c r="I1" s="230"/>
      <c r="J1" s="230"/>
      <c r="K1" s="230"/>
      <c r="L1" s="230"/>
      <c r="M1" s="231"/>
      <c r="N1" s="231"/>
      <c r="O1" s="231"/>
      <c r="P1" s="231"/>
      <c r="Q1" s="43"/>
      <c r="R1" s="43"/>
      <c r="S1" s="43"/>
      <c r="T1" s="74"/>
      <c r="U1" s="74"/>
      <c r="V1" s="74"/>
      <c r="W1" s="43"/>
    </row>
    <row r="2" spans="1:31">
      <c r="M2" s="169"/>
      <c r="N2" s="169"/>
      <c r="O2" s="169"/>
      <c r="P2" s="169">
        <f>改修履歴!A1</f>
        <v>0.99</v>
      </c>
      <c r="X2" s="4" t="s">
        <v>26</v>
      </c>
    </row>
    <row r="3" spans="1:31" ht="19.5" thickBot="1">
      <c r="A3" s="3" t="s">
        <v>23</v>
      </c>
      <c r="N3" t="s">
        <v>163</v>
      </c>
      <c r="X3" s="6" t="s">
        <v>25</v>
      </c>
    </row>
    <row r="4" spans="1:31" ht="19.5" thickBot="1">
      <c r="A4" s="223" t="str">
        <f>①基本情報!A7</f>
        <v>記載例小規模保育園</v>
      </c>
      <c r="B4" s="224"/>
      <c r="C4" s="224"/>
      <c r="D4" s="225"/>
      <c r="I4" s="250"/>
      <c r="J4" s="250"/>
      <c r="K4" s="250"/>
      <c r="L4" s="250"/>
      <c r="M4" s="203"/>
      <c r="N4" s="228">
        <f>①基本情報!A4</f>
        <v>45383</v>
      </c>
      <c r="O4" s="229"/>
      <c r="P4" s="203"/>
      <c r="Q4" s="72"/>
      <c r="R4" s="72"/>
      <c r="S4" s="72"/>
      <c r="T4" s="72"/>
      <c r="U4" s="72"/>
      <c r="V4" s="72"/>
      <c r="W4" s="72"/>
    </row>
    <row r="5" spans="1:31" ht="6" customHeight="1">
      <c r="A5" s="172"/>
      <c r="B5" s="172"/>
      <c r="C5" s="172"/>
      <c r="D5" s="172"/>
      <c r="E5" s="173"/>
      <c r="F5" s="173"/>
      <c r="G5" s="173"/>
      <c r="H5" s="173"/>
      <c r="I5" s="172"/>
      <c r="J5" s="172"/>
      <c r="K5" s="172"/>
      <c r="L5" s="172"/>
      <c r="M5" s="172"/>
      <c r="N5" s="172"/>
      <c r="O5" s="172"/>
      <c r="P5" s="172"/>
      <c r="Q5" s="72"/>
      <c r="R5" s="72"/>
      <c r="S5" s="72"/>
      <c r="T5" s="72"/>
      <c r="U5" s="72"/>
      <c r="V5" s="72"/>
      <c r="W5" s="72"/>
    </row>
    <row r="6" spans="1:31" ht="33">
      <c r="A6" s="172"/>
      <c r="B6" s="174" t="s">
        <v>200</v>
      </c>
      <c r="C6" s="175">
        <f>$Z$31+$Z$32</f>
        <v>16</v>
      </c>
      <c r="D6" s="255" t="str">
        <f>"(内訳：常勤"&amp;$Z$31&amp;"人、非常勤"&amp;$Z$32&amp;"人）"</f>
        <v>(内訳：常勤3人、非常勤13人）</v>
      </c>
      <c r="E6" s="256"/>
      <c r="F6" s="257" t="s">
        <v>201</v>
      </c>
      <c r="G6" s="258"/>
      <c r="H6" s="258"/>
      <c r="I6" s="258"/>
      <c r="J6" s="232">
        <f>$AC$32</f>
        <v>9.6</v>
      </c>
      <c r="K6" s="229"/>
      <c r="L6" s="172"/>
      <c r="M6" s="172"/>
      <c r="N6" s="172"/>
      <c r="O6" s="172"/>
      <c r="P6" s="172"/>
      <c r="Q6" s="72"/>
      <c r="R6" s="72"/>
      <c r="S6" s="72"/>
      <c r="T6" s="72"/>
      <c r="U6" s="72"/>
      <c r="V6" s="72"/>
      <c r="W6" s="72"/>
    </row>
    <row r="7" spans="1:31" ht="33">
      <c r="A7" s="172"/>
      <c r="B7" s="176" t="s">
        <v>202</v>
      </c>
      <c r="C7" s="177">
        <f>$Z$28+$Z$29</f>
        <v>9</v>
      </c>
      <c r="D7" s="259" t="str">
        <f>"(内訳：常勤"&amp;$Z$28&amp;"人、非常勤"&amp;$Z$29&amp;"人）"</f>
        <v>(内訳：常勤2人、非常勤7人）</v>
      </c>
      <c r="E7" s="260"/>
      <c r="F7" s="261" t="s">
        <v>203</v>
      </c>
      <c r="G7" s="258"/>
      <c r="H7" s="258"/>
      <c r="I7" s="258"/>
      <c r="J7" s="232">
        <f>$AC$29</f>
        <v>6.2</v>
      </c>
      <c r="K7" s="229"/>
      <c r="L7" s="172"/>
      <c r="M7" s="172"/>
      <c r="N7" s="172"/>
      <c r="O7" s="172"/>
      <c r="P7" s="172"/>
      <c r="Q7" s="180"/>
      <c r="R7" s="72"/>
      <c r="S7" s="72"/>
      <c r="T7" s="72"/>
      <c r="U7" s="72"/>
      <c r="V7" s="72"/>
      <c r="W7" s="72"/>
    </row>
    <row r="8" spans="1:31" ht="10.5" customHeight="1">
      <c r="X8" s="38" t="s">
        <v>55</v>
      </c>
      <c r="Y8" s="46">
        <f>①基本情報!A12</f>
        <v>160</v>
      </c>
    </row>
    <row r="9" spans="1:31" ht="13.5" customHeight="1">
      <c r="A9" s="253" t="s">
        <v>5</v>
      </c>
      <c r="B9" s="238" t="s">
        <v>59</v>
      </c>
      <c r="C9" s="251" t="s">
        <v>61</v>
      </c>
      <c r="D9" s="238" t="s">
        <v>62</v>
      </c>
      <c r="E9" s="251" t="s">
        <v>63</v>
      </c>
      <c r="F9" s="251" t="s">
        <v>4</v>
      </c>
      <c r="G9" s="251"/>
      <c r="H9" s="251"/>
      <c r="I9" s="252" t="s">
        <v>6</v>
      </c>
      <c r="J9" s="254" t="s">
        <v>8</v>
      </c>
      <c r="K9" s="254" t="s">
        <v>196</v>
      </c>
      <c r="L9" s="251" t="s">
        <v>7</v>
      </c>
      <c r="M9" s="248" t="s">
        <v>215</v>
      </c>
      <c r="N9" s="249"/>
      <c r="O9" s="249"/>
      <c r="P9" s="195"/>
      <c r="Q9" s="236"/>
      <c r="R9" s="236"/>
      <c r="S9" s="237"/>
      <c r="T9" s="237"/>
      <c r="U9" s="237"/>
      <c r="V9" s="237"/>
      <c r="W9" s="237"/>
    </row>
    <row r="10" spans="1:31" ht="19.5">
      <c r="A10" s="254"/>
      <c r="B10" s="239"/>
      <c r="C10" s="251"/>
      <c r="D10" s="239"/>
      <c r="E10" s="251"/>
      <c r="F10" s="47" t="s">
        <v>57</v>
      </c>
      <c r="G10" s="47" t="s">
        <v>58</v>
      </c>
      <c r="H10" s="186" t="s">
        <v>214</v>
      </c>
      <c r="I10" s="252"/>
      <c r="J10" s="254"/>
      <c r="K10" s="254"/>
      <c r="L10" s="251"/>
      <c r="M10" s="188" t="s">
        <v>216</v>
      </c>
      <c r="N10" s="47" t="s">
        <v>217</v>
      </c>
      <c r="O10" s="47" t="s">
        <v>218</v>
      </c>
      <c r="P10" s="195"/>
      <c r="Q10" s="190"/>
      <c r="R10" s="190"/>
      <c r="S10" s="236"/>
      <c r="T10" s="236"/>
      <c r="U10" s="236"/>
      <c r="V10" s="236"/>
      <c r="W10" s="237"/>
      <c r="AA10" s="45" t="s">
        <v>151</v>
      </c>
      <c r="AB10" s="45" t="s">
        <v>152</v>
      </c>
      <c r="AC10" s="45" t="s">
        <v>153</v>
      </c>
      <c r="AD10" s="45" t="s">
        <v>154</v>
      </c>
    </row>
    <row r="11" spans="1:31" ht="19.5" customHeight="1" thickBot="1">
      <c r="A11" s="240" t="s">
        <v>24</v>
      </c>
      <c r="B11" s="58" t="s">
        <v>64</v>
      </c>
      <c r="C11" s="53"/>
      <c r="D11" s="124" t="s">
        <v>120</v>
      </c>
      <c r="E11" s="206" t="s">
        <v>230</v>
      </c>
      <c r="F11" s="49" t="s">
        <v>54</v>
      </c>
      <c r="G11" s="146" t="s">
        <v>54</v>
      </c>
      <c r="H11" s="48"/>
      <c r="I11" s="50">
        <v>160</v>
      </c>
      <c r="J11" s="51" t="str">
        <f>IF(I11="","",IF(I11&lt;$Y$8,"非常勤","常勤"))</f>
        <v>常勤</v>
      </c>
      <c r="K11" s="50"/>
      <c r="L11" s="189"/>
      <c r="M11" s="200" t="s">
        <v>255</v>
      </c>
      <c r="N11" s="73"/>
      <c r="O11" s="194"/>
      <c r="P11" s="196" t="str">
        <f t="shared" ref="P11:P18" si="0">IF(M11="あり",IF((I11+O11)&lt;=$Y$8,"OK","NG"),"")</f>
        <v/>
      </c>
      <c r="Q11" s="191"/>
      <c r="R11" s="191"/>
      <c r="S11" s="192"/>
      <c r="T11" s="192"/>
      <c r="U11" s="192"/>
      <c r="V11" s="192"/>
      <c r="W11" s="191"/>
      <c r="Z11" s="134" t="s">
        <v>120</v>
      </c>
      <c r="AA11" s="45">
        <f>IF(E11="",0,1)</f>
        <v>1</v>
      </c>
      <c r="AB11" s="45"/>
      <c r="AC11" s="45"/>
      <c r="AD11" s="45">
        <f>IF(SUM(AA11:AC11)&gt;0,1,0)</f>
        <v>1</v>
      </c>
    </row>
    <row r="12" spans="1:31" ht="42.75" customHeight="1" thickBot="1">
      <c r="A12" s="243"/>
      <c r="B12" s="124" t="s">
        <v>123</v>
      </c>
      <c r="C12" s="52" t="s">
        <v>60</v>
      </c>
      <c r="D12" s="207" t="s">
        <v>236</v>
      </c>
      <c r="E12" s="206" t="s">
        <v>231</v>
      </c>
      <c r="F12" s="93"/>
      <c r="G12" s="151" t="s">
        <v>54</v>
      </c>
      <c r="H12" s="145"/>
      <c r="I12" s="50">
        <v>40</v>
      </c>
      <c r="J12" s="51" t="str">
        <f>IF(I12="","",IF(I12&lt;$Y$8,"非常勤","常勤"))</f>
        <v>非常勤</v>
      </c>
      <c r="K12" s="50"/>
      <c r="L12" s="189"/>
      <c r="M12" s="200" t="s">
        <v>255</v>
      </c>
      <c r="N12" s="73"/>
      <c r="O12" s="194"/>
      <c r="P12" s="202" t="str">
        <f t="shared" si="0"/>
        <v/>
      </c>
      <c r="Q12" s="191"/>
      <c r="R12" s="191"/>
      <c r="S12" s="192"/>
      <c r="T12" s="192"/>
      <c r="U12" s="192"/>
      <c r="V12" s="192"/>
      <c r="W12" s="191"/>
      <c r="Z12" s="135" t="s">
        <v>123</v>
      </c>
      <c r="AA12" s="45">
        <f>IF(E12="",0,1)</f>
        <v>1</v>
      </c>
      <c r="AB12" s="45"/>
      <c r="AC12" s="45"/>
      <c r="AD12" s="45">
        <f>IF(SUM(AA12:AC12)&gt;0,1,0)</f>
        <v>1</v>
      </c>
    </row>
    <row r="13" spans="1:31" ht="26.25" thickBot="1">
      <c r="A13" s="243"/>
      <c r="B13" s="124" t="s">
        <v>164</v>
      </c>
      <c r="C13" s="52" t="s">
        <v>60</v>
      </c>
      <c r="D13" s="207" t="s">
        <v>236</v>
      </c>
      <c r="E13" s="206" t="s">
        <v>232</v>
      </c>
      <c r="F13" s="93"/>
      <c r="G13" s="151" t="s">
        <v>54</v>
      </c>
      <c r="H13" s="145"/>
      <c r="I13" s="50">
        <v>32</v>
      </c>
      <c r="J13" s="51" t="str">
        <f>IF(I13="","",IF(I13&lt;$Y$8,"非常勤","常勤"))</f>
        <v>非常勤</v>
      </c>
      <c r="K13" s="50"/>
      <c r="L13" s="189"/>
      <c r="M13" s="200" t="s">
        <v>255</v>
      </c>
      <c r="N13" s="73"/>
      <c r="O13" s="194"/>
      <c r="P13" s="196" t="str">
        <f t="shared" si="0"/>
        <v/>
      </c>
      <c r="Q13" s="191"/>
      <c r="R13" s="191"/>
      <c r="S13" s="192"/>
      <c r="T13" s="192"/>
      <c r="U13" s="192"/>
      <c r="V13" s="192"/>
      <c r="W13" s="191"/>
      <c r="Z13" s="135" t="s">
        <v>164</v>
      </c>
      <c r="AA13" s="45">
        <f>IF(E13="",0,1)</f>
        <v>1</v>
      </c>
      <c r="AB13" s="45"/>
      <c r="AC13" s="45"/>
      <c r="AD13" s="45">
        <f>IF(SUM(AA13:AC13)&gt;0,1,0)</f>
        <v>1</v>
      </c>
      <c r="AE13" s="45">
        <f>IF(AD12+AD13=2,1,0)</f>
        <v>1</v>
      </c>
    </row>
    <row r="14" spans="1:31" ht="24.95" customHeight="1">
      <c r="A14" s="243"/>
      <c r="B14" s="124" t="s">
        <v>122</v>
      </c>
      <c r="C14" s="48" t="s">
        <v>170</v>
      </c>
      <c r="D14" s="54"/>
      <c r="E14" s="206" t="s">
        <v>233</v>
      </c>
      <c r="F14" s="49"/>
      <c r="G14" s="147"/>
      <c r="H14" s="48"/>
      <c r="I14" s="48">
        <v>80</v>
      </c>
      <c r="J14" s="52" t="str">
        <f t="shared" ref="J14" si="1">IF(I14="","",IF(I14&lt;$Y$8,"非常勤","常勤"))</f>
        <v>非常勤</v>
      </c>
      <c r="K14" s="48"/>
      <c r="L14" s="189"/>
      <c r="M14" s="200" t="s">
        <v>255</v>
      </c>
      <c r="N14" s="73"/>
      <c r="O14" s="194"/>
      <c r="P14" s="196" t="str">
        <f t="shared" si="0"/>
        <v/>
      </c>
      <c r="Q14" s="191"/>
      <c r="R14" s="191"/>
      <c r="S14" s="192"/>
      <c r="T14" s="192"/>
      <c r="U14" s="192"/>
      <c r="V14" s="192"/>
      <c r="W14" s="191"/>
      <c r="Z14" s="136" t="s">
        <v>122</v>
      </c>
      <c r="AA14" s="45">
        <f>IF(E14="",0,1)</f>
        <v>1</v>
      </c>
      <c r="AB14" s="45">
        <f>IF(C14="委託",1,0)</f>
        <v>0</v>
      </c>
      <c r="AC14" s="45">
        <f>IF(C14="外部搬入",1,0)</f>
        <v>0</v>
      </c>
      <c r="AD14" s="45">
        <f>IF(SUM(AA14:AC14)&gt;0,1,0)</f>
        <v>1</v>
      </c>
    </row>
    <row r="15" spans="1:31" ht="24.95" customHeight="1">
      <c r="A15" s="243"/>
      <c r="B15" s="124" t="s">
        <v>121</v>
      </c>
      <c r="C15" s="137" t="s">
        <v>219</v>
      </c>
      <c r="D15" s="54"/>
      <c r="E15" s="206" t="s">
        <v>234</v>
      </c>
      <c r="F15" s="49"/>
      <c r="G15" s="49"/>
      <c r="H15" s="48"/>
      <c r="I15" s="48">
        <v>80</v>
      </c>
      <c r="J15" s="52" t="str">
        <f t="shared" ref="J15" si="2">IF(I15="","",IF(I15&lt;$Y$8,"非常勤","常勤"))</f>
        <v>非常勤</v>
      </c>
      <c r="K15" s="48"/>
      <c r="L15" s="189"/>
      <c r="M15" s="200" t="s">
        <v>255</v>
      </c>
      <c r="N15" s="73"/>
      <c r="O15" s="194"/>
      <c r="P15" s="196" t="str">
        <f t="shared" si="0"/>
        <v/>
      </c>
      <c r="Q15" s="191"/>
      <c r="R15" s="191"/>
      <c r="S15" s="192"/>
      <c r="T15" s="192"/>
      <c r="U15" s="192"/>
      <c r="V15" s="192"/>
      <c r="W15" s="191"/>
      <c r="Z15" s="136" t="s">
        <v>121</v>
      </c>
      <c r="AA15" s="45">
        <f>IF(E15="",0,1)</f>
        <v>1</v>
      </c>
      <c r="AB15" s="45">
        <f>IF(C15="管理者等兼務",1,0)</f>
        <v>0</v>
      </c>
      <c r="AC15" s="45"/>
      <c r="AD15" s="45">
        <f>IF(SUM(AA15:AC15)&gt;0,1,0)</f>
        <v>1</v>
      </c>
    </row>
    <row r="16" spans="1:31" ht="24.95" customHeight="1">
      <c r="A16" s="243"/>
      <c r="B16" s="53"/>
      <c r="C16" s="48" t="s">
        <v>56</v>
      </c>
      <c r="D16" s="54"/>
      <c r="E16" s="206" t="s">
        <v>235</v>
      </c>
      <c r="F16" s="49"/>
      <c r="G16" s="49"/>
      <c r="H16" s="48"/>
      <c r="I16" s="48">
        <v>120</v>
      </c>
      <c r="J16" s="52" t="str">
        <f t="shared" ref="J16:J18" si="3">IF(I16="","",IF(I16&lt;$Y$8,"非常勤","常勤"))</f>
        <v>非常勤</v>
      </c>
      <c r="K16" s="48"/>
      <c r="L16" s="189"/>
      <c r="M16" s="200" t="s">
        <v>255</v>
      </c>
      <c r="N16" s="73"/>
      <c r="O16" s="194"/>
      <c r="P16" s="196" t="str">
        <f t="shared" si="0"/>
        <v/>
      </c>
      <c r="Q16" s="191"/>
      <c r="R16" s="191"/>
      <c r="S16" s="192"/>
      <c r="T16" s="192"/>
      <c r="U16" s="192"/>
      <c r="V16" s="192"/>
      <c r="W16" s="191"/>
    </row>
    <row r="17" spans="1:30" ht="24.95" customHeight="1">
      <c r="A17" s="243"/>
      <c r="B17" s="53"/>
      <c r="C17" s="48"/>
      <c r="D17" s="54"/>
      <c r="E17" s="48"/>
      <c r="F17" s="49"/>
      <c r="G17" s="49"/>
      <c r="H17" s="48"/>
      <c r="I17" s="48"/>
      <c r="J17" s="52" t="str">
        <f t="shared" si="3"/>
        <v/>
      </c>
      <c r="K17" s="48"/>
      <c r="L17" s="189"/>
      <c r="M17" s="200"/>
      <c r="N17" s="73"/>
      <c r="O17" s="194"/>
      <c r="P17" s="196" t="str">
        <f t="shared" si="0"/>
        <v/>
      </c>
      <c r="Q17" s="191"/>
      <c r="R17" s="191"/>
      <c r="S17" s="192"/>
      <c r="T17" s="192"/>
      <c r="U17" s="192"/>
      <c r="V17" s="192"/>
      <c r="W17" s="191"/>
    </row>
    <row r="18" spans="1:30" ht="24.95" customHeight="1">
      <c r="A18" s="244"/>
      <c r="B18" s="53"/>
      <c r="C18" s="48"/>
      <c r="D18" s="48"/>
      <c r="E18" s="48"/>
      <c r="F18" s="49"/>
      <c r="G18" s="49"/>
      <c r="H18" s="48"/>
      <c r="I18" s="48"/>
      <c r="J18" s="52" t="str">
        <f t="shared" si="3"/>
        <v/>
      </c>
      <c r="K18" s="48"/>
      <c r="L18" s="189"/>
      <c r="M18" s="200"/>
      <c r="N18" s="73"/>
      <c r="O18" s="194"/>
      <c r="P18" s="196" t="str">
        <f t="shared" si="0"/>
        <v/>
      </c>
      <c r="Q18" s="191"/>
      <c r="R18" s="191"/>
      <c r="S18" s="192"/>
      <c r="T18" s="192"/>
      <c r="U18" s="192"/>
      <c r="V18" s="192"/>
      <c r="W18" s="191"/>
    </row>
    <row r="19" spans="1:30" s="97" customFormat="1" ht="6" customHeight="1">
      <c r="A19" s="198"/>
      <c r="B19" s="94"/>
      <c r="C19" s="94"/>
      <c r="D19" s="94"/>
      <c r="E19" s="94"/>
      <c r="F19" s="95"/>
      <c r="G19" s="94"/>
      <c r="H19" s="94"/>
      <c r="I19" s="94"/>
      <c r="J19" s="94"/>
      <c r="K19" s="94"/>
      <c r="L19" s="96"/>
      <c r="M19" s="96"/>
      <c r="N19" s="96"/>
      <c r="O19" s="199"/>
      <c r="P19" s="196"/>
      <c r="Q19" s="193"/>
      <c r="R19" s="193"/>
      <c r="S19" s="193"/>
      <c r="T19" s="193"/>
      <c r="U19" s="193"/>
      <c r="V19" s="193"/>
      <c r="W19" s="193"/>
      <c r="X19" s="81"/>
    </row>
    <row r="20" spans="1:30" ht="24.95" customHeight="1">
      <c r="A20" s="240" t="s">
        <v>75</v>
      </c>
      <c r="B20" s="245" t="s">
        <v>195</v>
      </c>
      <c r="C20" s="48"/>
      <c r="D20" s="48"/>
      <c r="E20" s="48"/>
      <c r="F20" s="49"/>
      <c r="G20" s="49"/>
      <c r="H20" s="48"/>
      <c r="I20" s="48"/>
      <c r="J20" s="52" t="str">
        <f t="shared" ref="J20:J22" si="4">IF(I20="","",IF(I20&lt;$Y$8,"非常勤","常勤"))</f>
        <v/>
      </c>
      <c r="K20" s="48"/>
      <c r="L20" s="189"/>
      <c r="M20" s="200"/>
      <c r="N20" s="73"/>
      <c r="O20" s="194"/>
      <c r="P20" s="196" t="str">
        <f>IF(M20="あり",IF((I20+O20)&lt;=$Y$8,"OK","NG"),"")</f>
        <v/>
      </c>
      <c r="Q20" s="191"/>
      <c r="R20" s="191"/>
      <c r="S20" s="192"/>
      <c r="T20" s="192"/>
      <c r="U20" s="192"/>
      <c r="V20" s="192"/>
      <c r="W20" s="191"/>
    </row>
    <row r="21" spans="1:30" ht="24.95" customHeight="1">
      <c r="A21" s="241"/>
      <c r="B21" s="246"/>
      <c r="C21" s="48"/>
      <c r="D21" s="48"/>
      <c r="E21" s="48"/>
      <c r="F21" s="49"/>
      <c r="G21" s="49"/>
      <c r="H21" s="48"/>
      <c r="I21" s="48"/>
      <c r="J21" s="52" t="str">
        <f t="shared" si="4"/>
        <v/>
      </c>
      <c r="K21" s="48"/>
      <c r="L21" s="189"/>
      <c r="M21" s="200"/>
      <c r="N21" s="73"/>
      <c r="O21" s="194"/>
      <c r="P21" s="196" t="str">
        <f>IF(M21="あり",IF((I21+O21)&lt;=$Y$8,"OK","NG"),"")</f>
        <v/>
      </c>
      <c r="Q21" s="191"/>
      <c r="R21" s="191"/>
      <c r="S21" s="192"/>
      <c r="T21" s="192"/>
      <c r="U21" s="192"/>
      <c r="V21" s="192"/>
      <c r="W21" s="191"/>
    </row>
    <row r="22" spans="1:30" ht="24.95" customHeight="1">
      <c r="A22" s="242"/>
      <c r="B22" s="247"/>
      <c r="C22" s="48"/>
      <c r="D22" s="48"/>
      <c r="E22" s="48"/>
      <c r="F22" s="49"/>
      <c r="G22" s="49"/>
      <c r="H22" s="48"/>
      <c r="I22" s="48"/>
      <c r="J22" s="52" t="str">
        <f t="shared" si="4"/>
        <v/>
      </c>
      <c r="K22" s="48"/>
      <c r="L22" s="189"/>
      <c r="M22" s="200"/>
      <c r="N22" s="73"/>
      <c r="O22" s="194"/>
      <c r="P22" s="196" t="str">
        <f>IF(M22="あり",IF((I22+O22)&lt;=$Y$8,"OK","NG"),"")</f>
        <v/>
      </c>
      <c r="Q22" s="191"/>
      <c r="R22" s="191"/>
      <c r="S22" s="192"/>
      <c r="T22" s="192"/>
      <c r="U22" s="192"/>
      <c r="V22" s="192"/>
      <c r="W22" s="191"/>
    </row>
    <row r="23" spans="1:30" s="97" customFormat="1" ht="6" customHeight="1">
      <c r="A23" s="198"/>
      <c r="B23" s="94"/>
      <c r="C23" s="94"/>
      <c r="D23" s="94"/>
      <c r="E23" s="94"/>
      <c r="F23" s="95"/>
      <c r="G23" s="94"/>
      <c r="H23" s="94"/>
      <c r="I23" s="94"/>
      <c r="J23" s="94"/>
      <c r="K23" s="94"/>
      <c r="L23" s="96"/>
      <c r="M23" s="96"/>
      <c r="N23" s="96"/>
      <c r="O23" s="199"/>
      <c r="P23" s="196"/>
      <c r="Q23" s="193"/>
      <c r="R23" s="193"/>
      <c r="S23" s="193"/>
      <c r="T23" s="193"/>
      <c r="U23" s="193"/>
      <c r="V23" s="193"/>
      <c r="W23" s="193"/>
      <c r="X23" s="81"/>
    </row>
    <row r="24" spans="1:30" ht="24.95" customHeight="1">
      <c r="A24" s="98" t="s">
        <v>76</v>
      </c>
      <c r="B24" s="53"/>
      <c r="C24" s="55" t="s">
        <v>74</v>
      </c>
      <c r="D24" s="207" t="s">
        <v>237</v>
      </c>
      <c r="E24" s="206" t="s">
        <v>238</v>
      </c>
      <c r="F24" s="49"/>
      <c r="G24" s="49"/>
      <c r="H24" s="48" t="s">
        <v>239</v>
      </c>
      <c r="I24" s="48">
        <v>120</v>
      </c>
      <c r="J24" s="52" t="str">
        <f t="shared" ref="J24" si="5">IF(I24="","",IF(I24&lt;$Y$8,"非常勤","常勤"))</f>
        <v>非常勤</v>
      </c>
      <c r="K24" s="48"/>
      <c r="L24" s="189"/>
      <c r="M24" s="200"/>
      <c r="N24" s="73"/>
      <c r="O24" s="194"/>
      <c r="P24" s="196" t="str">
        <f>IF(M24="あり",IF((I24+O24)&lt;=$Y$8,"OK","NG"),"")</f>
        <v/>
      </c>
      <c r="Q24" s="191"/>
      <c r="R24" s="191"/>
      <c r="S24" s="192"/>
      <c r="T24" s="192"/>
      <c r="U24" s="192"/>
      <c r="V24" s="192"/>
      <c r="W24" s="191"/>
    </row>
    <row r="25" spans="1:30" s="97" customFormat="1" ht="6" customHeight="1">
      <c r="A25" s="198"/>
      <c r="B25" s="94"/>
      <c r="C25" s="94"/>
      <c r="D25" s="94"/>
      <c r="E25" s="94"/>
      <c r="F25" s="95"/>
      <c r="G25" s="94"/>
      <c r="H25" s="94"/>
      <c r="I25" s="94"/>
      <c r="J25" s="94"/>
      <c r="K25" s="94"/>
      <c r="L25" s="96"/>
      <c r="M25" s="96"/>
      <c r="N25" s="96"/>
      <c r="O25" s="199"/>
      <c r="P25" s="196"/>
      <c r="Q25" s="193"/>
      <c r="R25" s="193"/>
      <c r="S25" s="193"/>
      <c r="T25" s="193"/>
      <c r="U25" s="193"/>
      <c r="V25" s="193"/>
      <c r="W25" s="193"/>
      <c r="X25" s="81"/>
    </row>
    <row r="26" spans="1:30" s="97" customFormat="1" ht="13.5" customHeight="1">
      <c r="A26" s="233" t="s">
        <v>85</v>
      </c>
      <c r="B26" s="234"/>
      <c r="C26" s="234"/>
      <c r="D26" s="234"/>
      <c r="E26" s="234"/>
      <c r="F26" s="234"/>
      <c r="G26" s="234"/>
      <c r="H26" s="234"/>
      <c r="I26" s="234"/>
      <c r="J26" s="234"/>
      <c r="K26" s="234"/>
      <c r="L26" s="234"/>
      <c r="M26" s="201"/>
      <c r="N26" s="185"/>
      <c r="O26" s="185"/>
      <c r="P26" s="197"/>
      <c r="Q26" s="235"/>
      <c r="R26" s="235"/>
      <c r="S26" s="235"/>
      <c r="T26" s="235"/>
      <c r="U26" s="235"/>
      <c r="V26" s="235"/>
      <c r="W26" s="235"/>
      <c r="X26" s="81"/>
    </row>
    <row r="27" spans="1:30" ht="24.95" customHeight="1">
      <c r="A27" s="187">
        <v>1</v>
      </c>
      <c r="B27" s="149" t="str">
        <f>IF(I27&gt;0,IF(COUNTIF(G27:H27,"〇")&gt;=1,"","算定対象外(保資格)"),"")</f>
        <v/>
      </c>
      <c r="C27" s="48" t="s">
        <v>60</v>
      </c>
      <c r="D27" s="48" t="s">
        <v>240</v>
      </c>
      <c r="E27" s="206" t="s">
        <v>241</v>
      </c>
      <c r="F27" s="49" t="s">
        <v>54</v>
      </c>
      <c r="G27" s="49" t="s">
        <v>54</v>
      </c>
      <c r="H27" s="48"/>
      <c r="I27" s="48">
        <v>160</v>
      </c>
      <c r="J27" s="52" t="str">
        <f t="shared" ref="J27:J38" si="6">IF(I27="","",IF(I27&lt;$Y$8,"非常勤","常勤"))</f>
        <v>常勤</v>
      </c>
      <c r="K27" s="48"/>
      <c r="L27" s="189"/>
      <c r="M27" s="200" t="s">
        <v>255</v>
      </c>
      <c r="N27" s="73"/>
      <c r="O27" s="194"/>
      <c r="P27" s="196" t="str">
        <f t="shared" ref="P27:P35" si="7">IF(M27="あり",IF((I27+O27)&lt;=$Y$8,"OK","NG"),"")</f>
        <v/>
      </c>
      <c r="Q27" s="191"/>
      <c r="R27" s="191"/>
      <c r="S27" s="192"/>
      <c r="T27" s="192"/>
      <c r="U27" s="192"/>
      <c r="V27" s="192"/>
      <c r="W27" s="191"/>
      <c r="X27" s="148">
        <f t="shared" ref="X27:X34" si="8">COUNTIF(G27:H27,"〇")*I27</f>
        <v>160</v>
      </c>
      <c r="Y27" t="s">
        <v>204</v>
      </c>
      <c r="Z27" s="40" t="s">
        <v>42</v>
      </c>
      <c r="AA27" s="41" t="s">
        <v>43</v>
      </c>
      <c r="AB27" s="41" t="s">
        <v>44</v>
      </c>
      <c r="AD27" s="184"/>
    </row>
    <row r="28" spans="1:30" ht="24.95" customHeight="1">
      <c r="A28" s="187">
        <v>2</v>
      </c>
      <c r="B28" s="149" t="str">
        <f t="shared" ref="B28:B38" si="9">IF(I28&gt;0,IF(COUNTIF(G28:H28,"〇")&gt;=1,"","算定対象外(保資格)"),"")</f>
        <v/>
      </c>
      <c r="C28" s="48"/>
      <c r="D28" s="48" t="s">
        <v>242</v>
      </c>
      <c r="E28" s="206" t="s">
        <v>243</v>
      </c>
      <c r="F28" s="49" t="s">
        <v>54</v>
      </c>
      <c r="G28" s="49" t="s">
        <v>54</v>
      </c>
      <c r="H28" s="48"/>
      <c r="I28" s="48">
        <v>160</v>
      </c>
      <c r="J28" s="52" t="str">
        <f t="shared" si="6"/>
        <v>常勤</v>
      </c>
      <c r="K28" s="48"/>
      <c r="L28" s="189"/>
      <c r="M28" s="200" t="s">
        <v>255</v>
      </c>
      <c r="N28" s="73"/>
      <c r="O28" s="194"/>
      <c r="P28" s="196" t="str">
        <f t="shared" si="7"/>
        <v/>
      </c>
      <c r="Q28" s="191"/>
      <c r="R28" s="191"/>
      <c r="S28" s="192"/>
      <c r="T28" s="192"/>
      <c r="U28" s="192"/>
      <c r="V28" s="192"/>
      <c r="W28" s="191"/>
      <c r="X28" s="148">
        <f t="shared" si="8"/>
        <v>160</v>
      </c>
      <c r="Y28" s="38" t="s">
        <v>45</v>
      </c>
      <c r="Z28" s="39">
        <f>COUNTIFS($J$27:$J39,"常勤",$G$27:$G$39,"〇")+COUNTIFS($J$27:$J39,"常勤",$H$27:$H$39,"〇")+COUNTIF(J24,"常勤")</f>
        <v>2</v>
      </c>
      <c r="AA28" s="39">
        <f>Z28*Y8</f>
        <v>320</v>
      </c>
      <c r="AB28" s="39"/>
      <c r="AD28" s="184"/>
    </row>
    <row r="29" spans="1:30" ht="24.95" customHeight="1">
      <c r="A29" s="187">
        <v>3</v>
      </c>
      <c r="B29" s="149" t="str">
        <f t="shared" si="9"/>
        <v/>
      </c>
      <c r="C29" s="48"/>
      <c r="D29" s="48" t="s">
        <v>244</v>
      </c>
      <c r="E29" s="206" t="s">
        <v>245</v>
      </c>
      <c r="F29" s="49" t="s">
        <v>54</v>
      </c>
      <c r="G29" s="49" t="s">
        <v>54</v>
      </c>
      <c r="H29" s="48"/>
      <c r="I29" s="48">
        <v>120</v>
      </c>
      <c r="J29" s="52" t="str">
        <f t="shared" ref="J29:J37" si="10">IF(I29="","",IF(I29&lt;$Y$8,"非常勤","常勤"))</f>
        <v>非常勤</v>
      </c>
      <c r="K29" s="48"/>
      <c r="L29" s="189"/>
      <c r="M29" s="200" t="s">
        <v>255</v>
      </c>
      <c r="N29" s="73"/>
      <c r="O29" s="194"/>
      <c r="P29" s="196" t="str">
        <f t="shared" si="7"/>
        <v/>
      </c>
      <c r="Q29" s="191"/>
      <c r="R29" s="191"/>
      <c r="S29" s="192"/>
      <c r="T29" s="192"/>
      <c r="U29" s="192"/>
      <c r="V29" s="192"/>
      <c r="W29" s="191"/>
      <c r="X29" s="148">
        <f t="shared" si="8"/>
        <v>120</v>
      </c>
      <c r="Y29" s="39" t="s">
        <v>46</v>
      </c>
      <c r="Z29" s="39">
        <f>COUNTIFS($J$27:$J39,"非常勤",$G$27:$G$39,"〇")+COUNTIFS($J$27:$J39,"非常勤",$H$27:$H$39,"〇")+COUNTIF(J24,"非常勤")</f>
        <v>7</v>
      </c>
      <c r="AA29" s="39">
        <f>SUMIFS($X$27:$X39,$J$27:$J39,"非常勤")+I24</f>
        <v>672</v>
      </c>
      <c r="AB29" s="62">
        <f>ROUNDDOWN(AA29/Y8,1)</f>
        <v>4.2</v>
      </c>
      <c r="AC29" s="178">
        <f>Z28+AB29</f>
        <v>6.2</v>
      </c>
      <c r="AD29" s="184"/>
    </row>
    <row r="30" spans="1:30" ht="24.95" customHeight="1">
      <c r="A30" s="187">
        <v>4</v>
      </c>
      <c r="B30" s="149" t="str">
        <f t="shared" si="9"/>
        <v/>
      </c>
      <c r="C30" s="48"/>
      <c r="D30" s="207" t="s">
        <v>246</v>
      </c>
      <c r="E30" s="206" t="s">
        <v>247</v>
      </c>
      <c r="F30" s="49"/>
      <c r="G30" s="49" t="s">
        <v>54</v>
      </c>
      <c r="H30" s="48"/>
      <c r="I30" s="48">
        <v>120</v>
      </c>
      <c r="J30" s="52" t="str">
        <f t="shared" si="10"/>
        <v>非常勤</v>
      </c>
      <c r="K30" s="48"/>
      <c r="L30" s="189"/>
      <c r="M30" s="200" t="s">
        <v>255</v>
      </c>
      <c r="N30" s="73"/>
      <c r="O30" s="194"/>
      <c r="P30" s="196" t="str">
        <f t="shared" si="7"/>
        <v/>
      </c>
      <c r="Q30" s="191"/>
      <c r="R30" s="191"/>
      <c r="S30" s="192"/>
      <c r="T30" s="192"/>
      <c r="U30" s="192"/>
      <c r="V30" s="192"/>
      <c r="W30" s="191"/>
      <c r="X30" s="148">
        <f t="shared" si="8"/>
        <v>120</v>
      </c>
      <c r="Y30" s="170" t="s">
        <v>205</v>
      </c>
      <c r="Z30" s="40" t="s">
        <v>42</v>
      </c>
      <c r="AA30" s="41" t="s">
        <v>43</v>
      </c>
      <c r="AB30" s="41" t="s">
        <v>44</v>
      </c>
      <c r="AD30" s="184"/>
    </row>
    <row r="31" spans="1:30" ht="24.95" customHeight="1">
      <c r="A31" s="187">
        <v>5</v>
      </c>
      <c r="B31" s="149" t="str">
        <f t="shared" si="9"/>
        <v/>
      </c>
      <c r="C31" s="48"/>
      <c r="D31" s="207" t="s">
        <v>246</v>
      </c>
      <c r="E31" s="206" t="s">
        <v>248</v>
      </c>
      <c r="F31" s="49"/>
      <c r="G31" s="49" t="s">
        <v>54</v>
      </c>
      <c r="H31" s="48"/>
      <c r="I31" s="48">
        <v>120</v>
      </c>
      <c r="J31" s="52" t="str">
        <f t="shared" si="10"/>
        <v>非常勤</v>
      </c>
      <c r="K31" s="48"/>
      <c r="L31" s="189"/>
      <c r="M31" s="200" t="s">
        <v>255</v>
      </c>
      <c r="N31" s="73"/>
      <c r="O31" s="194"/>
      <c r="P31" s="196" t="str">
        <f t="shared" si="7"/>
        <v/>
      </c>
      <c r="Q31" s="191"/>
      <c r="R31" s="191"/>
      <c r="S31" s="192"/>
      <c r="T31" s="192"/>
      <c r="U31" s="192"/>
      <c r="V31" s="192"/>
      <c r="W31" s="191"/>
      <c r="X31" s="148">
        <f t="shared" si="8"/>
        <v>120</v>
      </c>
      <c r="Y31" s="38" t="s">
        <v>45</v>
      </c>
      <c r="Z31" s="39">
        <f>COUNTIF($J$11:$J$24,"常勤")+COUNTIF($J$27:$J$37,"常勤")</f>
        <v>3</v>
      </c>
      <c r="AA31" s="39">
        <f>Z31*Y8</f>
        <v>480</v>
      </c>
      <c r="AB31" s="39"/>
      <c r="AD31" s="184"/>
    </row>
    <row r="32" spans="1:30" ht="24.95" customHeight="1">
      <c r="A32" s="187">
        <v>6</v>
      </c>
      <c r="B32" s="149" t="str">
        <f t="shared" si="9"/>
        <v/>
      </c>
      <c r="C32" s="48"/>
      <c r="D32" s="207" t="s">
        <v>249</v>
      </c>
      <c r="E32" s="206" t="s">
        <v>250</v>
      </c>
      <c r="F32" s="49"/>
      <c r="G32" s="49" t="s">
        <v>54</v>
      </c>
      <c r="H32" s="48"/>
      <c r="I32" s="48">
        <v>96</v>
      </c>
      <c r="J32" s="52" t="str">
        <f t="shared" si="10"/>
        <v>非常勤</v>
      </c>
      <c r="K32" s="48"/>
      <c r="L32" s="189"/>
      <c r="M32" s="200" t="s">
        <v>255</v>
      </c>
      <c r="N32" s="73"/>
      <c r="O32" s="194"/>
      <c r="P32" s="196" t="str">
        <f t="shared" si="7"/>
        <v/>
      </c>
      <c r="Q32" s="191"/>
      <c r="R32" s="191"/>
      <c r="S32" s="192"/>
      <c r="T32" s="192"/>
      <c r="U32" s="192"/>
      <c r="V32" s="192"/>
      <c r="W32" s="191"/>
      <c r="X32" s="148">
        <f t="shared" si="8"/>
        <v>96</v>
      </c>
      <c r="Y32" s="39" t="s">
        <v>46</v>
      </c>
      <c r="Z32" s="39">
        <f>COUNTIF($J$11:$J$24,"非常勤")+COUNTIF($J$27:$J$37,"非常勤")</f>
        <v>13</v>
      </c>
      <c r="AA32" s="39">
        <f>SUMIFS(I11:I24,J11:J24,"非常勤")+SUMIFS(I27:I37,J27:J37,"非常勤")</f>
        <v>1056</v>
      </c>
      <c r="AB32" s="62">
        <f>AA32/Y8</f>
        <v>6.6</v>
      </c>
      <c r="AC32" s="179">
        <f>ROUND(Z31+AB32,1)</f>
        <v>9.6</v>
      </c>
      <c r="AD32" s="184"/>
    </row>
    <row r="33" spans="1:30" ht="24.95" customHeight="1">
      <c r="A33" s="187">
        <v>7</v>
      </c>
      <c r="B33" s="149" t="str">
        <f t="shared" si="9"/>
        <v/>
      </c>
      <c r="C33" s="48"/>
      <c r="D33" s="54"/>
      <c r="E33" s="206" t="s">
        <v>251</v>
      </c>
      <c r="F33" s="49"/>
      <c r="G33" s="49" t="s">
        <v>54</v>
      </c>
      <c r="H33" s="48"/>
      <c r="I33" s="48">
        <v>64</v>
      </c>
      <c r="J33" s="52" t="str">
        <f t="shared" si="10"/>
        <v>非常勤</v>
      </c>
      <c r="K33" s="48"/>
      <c r="L33" s="189"/>
      <c r="M33" s="200" t="s">
        <v>255</v>
      </c>
      <c r="N33" s="73"/>
      <c r="O33" s="194"/>
      <c r="P33" s="196" t="str">
        <f t="shared" si="7"/>
        <v/>
      </c>
      <c r="Q33" s="191"/>
      <c r="R33" s="191"/>
      <c r="S33" s="192"/>
      <c r="T33" s="192"/>
      <c r="U33" s="192"/>
      <c r="V33" s="192"/>
      <c r="W33" s="191"/>
      <c r="X33" s="148">
        <f t="shared" si="8"/>
        <v>64</v>
      </c>
      <c r="AD33" s="184"/>
    </row>
    <row r="34" spans="1:30" ht="24.95" customHeight="1">
      <c r="A34" s="187">
        <v>8</v>
      </c>
      <c r="B34" s="149" t="str">
        <f t="shared" si="9"/>
        <v/>
      </c>
      <c r="C34" s="48"/>
      <c r="D34" s="54"/>
      <c r="E34" s="206" t="s">
        <v>252</v>
      </c>
      <c r="F34" s="49"/>
      <c r="G34" s="49"/>
      <c r="H34" s="48" t="s">
        <v>54</v>
      </c>
      <c r="I34" s="48">
        <v>32</v>
      </c>
      <c r="J34" s="52" t="str">
        <f t="shared" si="10"/>
        <v>非常勤</v>
      </c>
      <c r="K34" s="48"/>
      <c r="L34" s="189" t="s">
        <v>256</v>
      </c>
      <c r="M34" s="200" t="s">
        <v>257</v>
      </c>
      <c r="N34" s="73" t="s">
        <v>258</v>
      </c>
      <c r="O34" s="194">
        <v>80</v>
      </c>
      <c r="P34" s="196" t="str">
        <f t="shared" si="7"/>
        <v>OK</v>
      </c>
      <c r="Q34" s="191"/>
      <c r="R34" s="191"/>
      <c r="S34" s="192"/>
      <c r="T34" s="192"/>
      <c r="U34" s="192"/>
      <c r="V34" s="192"/>
      <c r="W34" s="191"/>
      <c r="X34" s="148">
        <f t="shared" si="8"/>
        <v>32</v>
      </c>
      <c r="AD34" s="184"/>
    </row>
    <row r="35" spans="1:30" ht="24.95" customHeight="1">
      <c r="A35" s="187">
        <v>9</v>
      </c>
      <c r="B35" s="149" t="str">
        <f t="shared" si="9"/>
        <v>算定対象外(保資格)</v>
      </c>
      <c r="C35" s="48"/>
      <c r="D35" s="54"/>
      <c r="E35" s="206" t="s">
        <v>253</v>
      </c>
      <c r="F35" s="49"/>
      <c r="G35" s="49"/>
      <c r="H35" s="48"/>
      <c r="I35" s="48">
        <v>32</v>
      </c>
      <c r="J35" s="52" t="str">
        <f t="shared" si="10"/>
        <v>非常勤</v>
      </c>
      <c r="K35" s="48"/>
      <c r="L35" s="189"/>
      <c r="M35" s="200" t="s">
        <v>255</v>
      </c>
      <c r="N35" s="73"/>
      <c r="O35" s="194"/>
      <c r="P35" s="196" t="str">
        <f t="shared" si="7"/>
        <v/>
      </c>
      <c r="Q35" s="191"/>
      <c r="R35" s="191"/>
      <c r="S35" s="192"/>
      <c r="T35" s="192"/>
      <c r="U35" s="192"/>
      <c r="V35" s="192"/>
      <c r="W35" s="191"/>
      <c r="X35" s="148">
        <f>COUNTIF(G35:H35,"〇")*I35</f>
        <v>0</v>
      </c>
      <c r="AD35" s="184"/>
    </row>
    <row r="36" spans="1:30" ht="24.95" customHeight="1">
      <c r="A36" s="187">
        <v>10</v>
      </c>
      <c r="B36" s="149" t="str">
        <f t="shared" si="9"/>
        <v/>
      </c>
      <c r="C36" s="48"/>
      <c r="D36" s="54"/>
      <c r="E36" s="48"/>
      <c r="F36" s="49"/>
      <c r="G36" s="49"/>
      <c r="H36" s="48"/>
      <c r="I36" s="48"/>
      <c r="J36" s="52" t="str">
        <f t="shared" si="10"/>
        <v/>
      </c>
      <c r="K36" s="48"/>
      <c r="L36" s="189"/>
      <c r="M36" s="200"/>
      <c r="N36" s="73"/>
      <c r="O36" s="194"/>
      <c r="P36" s="196" t="str">
        <f t="shared" ref="P36:P38" si="11">IF(M36="あり",IF((I36+O36)&lt;=$AA$9,"OK","NG"),"")</f>
        <v/>
      </c>
      <c r="Q36" s="191"/>
      <c r="R36" s="191"/>
      <c r="S36" s="192"/>
      <c r="T36" s="192"/>
      <c r="U36" s="192"/>
      <c r="V36" s="192"/>
      <c r="W36" s="191"/>
      <c r="X36" s="148">
        <f t="shared" ref="X36:X38" si="12">COUNTIF(G36:H36,"〇")*I36</f>
        <v>0</v>
      </c>
      <c r="AD36" s="184"/>
    </row>
    <row r="37" spans="1:30" ht="24.95" customHeight="1">
      <c r="A37" s="187">
        <v>11</v>
      </c>
      <c r="B37" s="149" t="str">
        <f t="shared" si="9"/>
        <v/>
      </c>
      <c r="C37" s="48"/>
      <c r="D37" s="54"/>
      <c r="E37" s="48"/>
      <c r="F37" s="49"/>
      <c r="G37" s="49"/>
      <c r="H37" s="48"/>
      <c r="I37" s="48"/>
      <c r="J37" s="52" t="str">
        <f t="shared" si="10"/>
        <v/>
      </c>
      <c r="K37" s="48"/>
      <c r="L37" s="189"/>
      <c r="M37" s="200"/>
      <c r="N37" s="73"/>
      <c r="O37" s="194"/>
      <c r="P37" s="196" t="str">
        <f t="shared" si="11"/>
        <v/>
      </c>
      <c r="Q37" s="191"/>
      <c r="R37" s="191"/>
      <c r="S37" s="192"/>
      <c r="T37" s="192"/>
      <c r="U37" s="192"/>
      <c r="V37" s="192"/>
      <c r="W37" s="191"/>
      <c r="X37" s="148">
        <f t="shared" si="12"/>
        <v>0</v>
      </c>
      <c r="AD37" s="184"/>
    </row>
    <row r="38" spans="1:30" ht="24.95" customHeight="1">
      <c r="A38" s="187">
        <v>12</v>
      </c>
      <c r="B38" s="149" t="str">
        <f t="shared" si="9"/>
        <v/>
      </c>
      <c r="C38" s="48"/>
      <c r="D38" s="48"/>
      <c r="E38" s="48"/>
      <c r="F38" s="49"/>
      <c r="G38" s="49"/>
      <c r="H38" s="48"/>
      <c r="I38" s="48"/>
      <c r="J38" s="52" t="str">
        <f t="shared" si="6"/>
        <v/>
      </c>
      <c r="K38" s="48"/>
      <c r="L38" s="189"/>
      <c r="M38" s="200"/>
      <c r="N38" s="73"/>
      <c r="O38" s="194"/>
      <c r="P38" s="196" t="str">
        <f t="shared" si="11"/>
        <v/>
      </c>
      <c r="Q38" s="191"/>
      <c r="R38" s="191"/>
      <c r="S38" s="192"/>
      <c r="T38" s="192"/>
      <c r="U38" s="192"/>
      <c r="V38" s="192"/>
      <c r="W38" s="191"/>
      <c r="X38" s="148">
        <f t="shared" si="12"/>
        <v>0</v>
      </c>
      <c r="AD38" s="184"/>
    </row>
  </sheetData>
  <mergeCells count="31">
    <mergeCell ref="A4:D4"/>
    <mergeCell ref="I4:L4"/>
    <mergeCell ref="F9:H9"/>
    <mergeCell ref="I9:I10"/>
    <mergeCell ref="L9:L10"/>
    <mergeCell ref="E9:E10"/>
    <mergeCell ref="C9:C10"/>
    <mergeCell ref="A9:A10"/>
    <mergeCell ref="J9:J10"/>
    <mergeCell ref="K9:K10"/>
    <mergeCell ref="D6:E6"/>
    <mergeCell ref="F6:I6"/>
    <mergeCell ref="D7:E7"/>
    <mergeCell ref="F7:I7"/>
    <mergeCell ref="J6:K6"/>
    <mergeCell ref="N4:O4"/>
    <mergeCell ref="A1:P1"/>
    <mergeCell ref="J7:K7"/>
    <mergeCell ref="A26:L26"/>
    <mergeCell ref="Q26:W26"/>
    <mergeCell ref="Q9:R9"/>
    <mergeCell ref="W9:W10"/>
    <mergeCell ref="D9:D10"/>
    <mergeCell ref="B9:B10"/>
    <mergeCell ref="S9:V9"/>
    <mergeCell ref="S10:T10"/>
    <mergeCell ref="U10:V10"/>
    <mergeCell ref="A20:A22"/>
    <mergeCell ref="A11:A18"/>
    <mergeCell ref="B20:B22"/>
    <mergeCell ref="M9:O9"/>
  </mergeCells>
  <phoneticPr fontId="1"/>
  <conditionalFormatting sqref="D14 J14:L14">
    <cfRule type="expression" dxfId="10" priority="10">
      <formula>$C$14="委託"</formula>
    </cfRule>
    <cfRule type="expression" dxfId="9" priority="11">
      <formula>$C$14="外部搬入"</formula>
    </cfRule>
  </conditionalFormatting>
  <conditionalFormatting sqref="D15 J15:L15">
    <cfRule type="expression" dxfId="8" priority="9">
      <formula>$C$15="管理者等兼務"</formula>
    </cfRule>
  </conditionalFormatting>
  <conditionalFormatting sqref="N11:O11">
    <cfRule type="expression" dxfId="7" priority="8">
      <formula>$M$12="なし"</formula>
    </cfRule>
  </conditionalFormatting>
  <conditionalFormatting sqref="N11:O18">
    <cfRule type="expression" dxfId="6" priority="7">
      <formula>$M11="なし"</formula>
    </cfRule>
  </conditionalFormatting>
  <conditionalFormatting sqref="N20:O22">
    <cfRule type="expression" dxfId="5" priority="6">
      <formula>$M20="なし"</formula>
    </cfRule>
  </conditionalFormatting>
  <conditionalFormatting sqref="N24:O24">
    <cfRule type="expression" dxfId="4" priority="5">
      <formula>$M24="なし"</formula>
    </cfRule>
  </conditionalFormatting>
  <conditionalFormatting sqref="N27:O38">
    <cfRule type="expression" dxfId="3" priority="4">
      <formula>$M27="なし"</formula>
    </cfRule>
  </conditionalFormatting>
  <conditionalFormatting sqref="F14:I14">
    <cfRule type="expression" dxfId="2" priority="2">
      <formula>$C$14="委託"</formula>
    </cfRule>
    <cfRule type="expression" dxfId="1" priority="3">
      <formula>$C$14="外部搬入"</formula>
    </cfRule>
  </conditionalFormatting>
  <conditionalFormatting sqref="E15:I15">
    <cfRule type="expression" dxfId="0" priority="1">
      <formula>$C$15="管理者等兼務"</formula>
    </cfRule>
  </conditionalFormatting>
  <dataValidations count="8">
    <dataValidation type="list" allowBlank="1" showInputMessage="1" showErrorMessage="1" sqref="F11:G18 F20:G22 F24:G24 F27:G38">
      <formula1>"〇"</formula1>
    </dataValidation>
    <dataValidation type="list" allowBlank="1" showInputMessage="1" showErrorMessage="1" sqref="J11:J18 J24 J20:J22 J27:J3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8">
      <formula1>"○,―"</formula1>
    </dataValidation>
    <dataValidation type="whole" errorStyle="warning" operator="lessThanOrEqual" showErrorMessage="1" errorTitle="特例の場合の入力について" error="特例該当者の場合は、保育士免許を所持していないと思われますので、G列・H列の両方に「○」は入りません。" sqref="AD27:AD38">
      <formula1>1</formula1>
    </dataValidation>
    <dataValidation type="list" allowBlank="1" showInputMessage="1" showErrorMessage="1" promptTitle="特例の場合の入力について" prompt="特例該当者の場合は、保育士免許を所持していないと思われますので、G列・H列の両方に「○」は入りません。" sqref="H27:H38">
      <formula1>"〇"</formula1>
    </dataValidation>
    <dataValidation type="list" allowBlank="1" showInputMessage="1" showErrorMessage="1" sqref="M11:M18 M20:M22 M24 M27:M38">
      <formula1>"あり,なし"</formula1>
    </dataValidation>
  </dataValidations>
  <pageMargins left="0.51181102362204722" right="0.31496062992125984" top="0.55118110236220474" bottom="0.55118110236220474" header="0.31496062992125984" footer="0.31496062992125984"/>
  <pageSetup paperSize="9" scale="7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H23" sqref="H23"/>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208" t="str">
        <f>①基本情報!A1</f>
        <v>教育・保育給付に係る加算等確認表（小規模保育事業A型)</v>
      </c>
      <c r="B1" s="267"/>
      <c r="C1" s="267"/>
      <c r="D1" s="267"/>
      <c r="E1" s="267"/>
      <c r="F1" s="267"/>
      <c r="G1" s="267"/>
      <c r="H1" s="267"/>
      <c r="I1" s="267"/>
      <c r="J1" s="10"/>
      <c r="K1" s="10"/>
      <c r="L1" s="10" t="s">
        <v>191</v>
      </c>
    </row>
    <row r="2" spans="1:18" ht="19.5" thickBot="1">
      <c r="A2" t="s">
        <v>162</v>
      </c>
      <c r="I2" s="166">
        <f>改修履歴!A1</f>
        <v>0.99</v>
      </c>
      <c r="K2" s="160">
        <f>IF(L2="可",1,0)</f>
        <v>1</v>
      </c>
      <c r="L2" s="161" t="str">
        <f>IF(N2=3,"可","不可")</f>
        <v>可</v>
      </c>
      <c r="M2" s="23" t="s">
        <v>126</v>
      </c>
      <c r="N2">
        <f>SUM(O2:Q2)</f>
        <v>3</v>
      </c>
      <c r="O2">
        <f>IF(⑤集計表!L40&gt;0,1,0)</f>
        <v>1</v>
      </c>
      <c r="P2">
        <f>IF(⑤集計表!O45&gt;=0,1,0)</f>
        <v>1</v>
      </c>
      <c r="Q2">
        <f>$K$7</f>
        <v>1</v>
      </c>
    </row>
    <row r="3" spans="1:18" ht="19.5" thickBot="1">
      <c r="A3" s="219">
        <f>①基本情報!A4</f>
        <v>45383</v>
      </c>
      <c r="B3" s="266"/>
      <c r="C3" s="266"/>
      <c r="D3" s="220"/>
      <c r="K3" s="160">
        <f t="shared" ref="K3:K4" si="0">IF(L3="可",1,0)</f>
        <v>0</v>
      </c>
      <c r="L3" s="161" t="str">
        <f>IF(N3=1,"可","不可")</f>
        <v>不可</v>
      </c>
      <c r="M3" s="23" t="s">
        <v>192</v>
      </c>
      <c r="N3">
        <f>SUM(O3:Q3)</f>
        <v>0</v>
      </c>
      <c r="O3">
        <f>IF(③職員名簿!$E$11="",1,0)</f>
        <v>0</v>
      </c>
    </row>
    <row r="4" spans="1:18" ht="17.25" customHeight="1">
      <c r="A4" s="7"/>
      <c r="B4" s="8"/>
      <c r="C4" s="8"/>
      <c r="D4" s="8"/>
      <c r="E4" s="8"/>
      <c r="F4" s="8"/>
      <c r="G4" s="8"/>
      <c r="H4" s="8"/>
      <c r="I4" s="10"/>
      <c r="K4" s="160">
        <f t="shared" si="0"/>
        <v>1</v>
      </c>
      <c r="L4" s="161" t="str">
        <f>IF(N4=1,"可","不可")</f>
        <v>可</v>
      </c>
      <c r="M4" s="23" t="s">
        <v>194</v>
      </c>
      <c r="N4">
        <f>SUM(O4:P4)</f>
        <v>1</v>
      </c>
      <c r="O4">
        <f>①基本情報!N4</f>
        <v>1</v>
      </c>
    </row>
    <row r="5" spans="1:18" ht="19.5" thickBot="1">
      <c r="A5" s="3" t="s">
        <v>23</v>
      </c>
      <c r="F5" s="21"/>
      <c r="G5" s="21"/>
      <c r="H5" s="21"/>
      <c r="I5" s="21"/>
      <c r="L5" s="108"/>
      <c r="M5" s="23"/>
    </row>
    <row r="6" spans="1:18" ht="19.5" thickBot="1">
      <c r="A6" s="223" t="str">
        <f>①基本情報!A7</f>
        <v>記載例小規模保育園</v>
      </c>
      <c r="B6" s="224"/>
      <c r="C6" s="224"/>
      <c r="D6" s="224"/>
      <c r="E6" s="224"/>
      <c r="F6" s="224"/>
      <c r="G6" s="225"/>
      <c r="H6" s="57"/>
      <c r="L6" s="108"/>
      <c r="M6" s="23"/>
    </row>
    <row r="7" spans="1:18">
      <c r="K7" s="160">
        <f>IF(L7="OK",1,0)</f>
        <v>1</v>
      </c>
      <c r="L7" s="161" t="str">
        <f>IF(⑤集計表!M29="満たしている","OK","NG")</f>
        <v>OK</v>
      </c>
      <c r="M7" s="162" t="s">
        <v>193</v>
      </c>
    </row>
    <row r="8" spans="1:18" ht="19.5" thickBot="1">
      <c r="A8" t="s">
        <v>40</v>
      </c>
      <c r="F8" t="s">
        <v>32</v>
      </c>
      <c r="L8" s="108"/>
      <c r="M8" s="23"/>
    </row>
    <row r="9" spans="1:18" ht="19.5" thickBot="1">
      <c r="A9" s="1">
        <v>1</v>
      </c>
      <c r="B9" s="76" t="s">
        <v>54</v>
      </c>
      <c r="C9" s="268" t="s">
        <v>27</v>
      </c>
      <c r="D9" s="262"/>
      <c r="E9" s="22"/>
      <c r="F9" s="1">
        <v>8</v>
      </c>
      <c r="G9" s="17"/>
      <c r="H9" s="262" t="s">
        <v>127</v>
      </c>
      <c r="I9" s="263"/>
      <c r="L9" s="108"/>
      <c r="M9" s="23"/>
    </row>
    <row r="10" spans="1:18" ht="19.5" thickBot="1">
      <c r="A10" s="109">
        <v>2</v>
      </c>
      <c r="B10" s="110"/>
      <c r="C10" s="269" t="s">
        <v>125</v>
      </c>
      <c r="D10" s="264"/>
      <c r="E10" s="22"/>
      <c r="F10" s="1">
        <v>9</v>
      </c>
      <c r="G10" s="17"/>
      <c r="H10" s="262" t="s">
        <v>128</v>
      </c>
      <c r="I10" s="263"/>
      <c r="L10" s="108"/>
      <c r="M10" s="23"/>
    </row>
    <row r="11" spans="1:18" ht="19.5" thickBot="1">
      <c r="A11" s="1">
        <v>3</v>
      </c>
      <c r="B11" s="17" t="s">
        <v>54</v>
      </c>
      <c r="C11" s="128">
        <f>M24</f>
        <v>2</v>
      </c>
      <c r="D11" s="121" t="str">
        <f>IF(K2=1,"障害児保育加算","【適用不可】障害児保育加算")</f>
        <v>障害児保育加算</v>
      </c>
      <c r="E11" s="22"/>
      <c r="F11" s="1">
        <v>10</v>
      </c>
      <c r="G11" s="17"/>
      <c r="H11" s="262" t="str">
        <f>IF(K3=1,"管理者を配置していない場合","【適用不可（"&amp;③職員名簿!E11&amp;"）】管理者を配置していない場合")</f>
        <v>【適用不可（a）】管理者を配置していない場合</v>
      </c>
      <c r="I11" s="263"/>
      <c r="L11" s="108"/>
      <c r="M11" s="23"/>
    </row>
    <row r="12" spans="1:18" ht="19.5" thickBot="1">
      <c r="A12" s="1">
        <v>4</v>
      </c>
      <c r="B12" s="17"/>
      <c r="C12" s="117"/>
      <c r="D12" s="56" t="s">
        <v>28</v>
      </c>
      <c r="E12" s="22"/>
      <c r="F12" s="1">
        <v>11</v>
      </c>
      <c r="G12" s="181"/>
      <c r="H12" s="182"/>
      <c r="I12" s="78" t="s">
        <v>208</v>
      </c>
      <c r="L12" s="108"/>
      <c r="M12" s="23"/>
    </row>
    <row r="13" spans="1:18" ht="19.5" thickBot="1">
      <c r="A13" s="109">
        <v>5</v>
      </c>
      <c r="B13" s="110"/>
      <c r="C13" s="270" t="s">
        <v>29</v>
      </c>
      <c r="D13" s="265"/>
      <c r="E13" s="22"/>
      <c r="L13" s="108"/>
      <c r="M13" s="23"/>
    </row>
    <row r="14" spans="1:18" ht="19.5" thickBot="1">
      <c r="A14" s="1">
        <v>6</v>
      </c>
      <c r="B14" s="17"/>
      <c r="C14" s="262" t="s">
        <v>30</v>
      </c>
      <c r="D14" s="263"/>
      <c r="E14" s="22"/>
      <c r="F14" t="s">
        <v>33</v>
      </c>
      <c r="I14" s="23"/>
      <c r="L14" s="108"/>
      <c r="M14" s="23"/>
    </row>
    <row r="15" spans="1:18" ht="19.5" thickBot="1">
      <c r="A15" s="1">
        <v>7</v>
      </c>
      <c r="B15" s="17" t="s">
        <v>54</v>
      </c>
      <c r="C15" s="262" t="s">
        <v>31</v>
      </c>
      <c r="D15" s="263"/>
      <c r="E15" s="22"/>
      <c r="F15" s="127">
        <v>12</v>
      </c>
      <c r="G15" s="17"/>
      <c r="H15" s="262" t="s">
        <v>129</v>
      </c>
      <c r="I15" s="263"/>
      <c r="L15" s="108"/>
      <c r="M15" s="23"/>
      <c r="R15" s="118" t="s">
        <v>113</v>
      </c>
    </row>
    <row r="16" spans="1:18" ht="19.5" customHeight="1">
      <c r="E16" s="22"/>
      <c r="L16" s="108"/>
      <c r="M16" s="23"/>
      <c r="R16" s="114" t="s">
        <v>99</v>
      </c>
    </row>
    <row r="17" spans="5:18" ht="19.5" thickBot="1">
      <c r="E17" s="22"/>
      <c r="F17" t="s">
        <v>34</v>
      </c>
      <c r="I17" s="23"/>
      <c r="L17" s="108"/>
      <c r="M17" s="23"/>
      <c r="R17" s="114" t="s">
        <v>100</v>
      </c>
    </row>
    <row r="18" spans="5:18" ht="19.5" thickBot="1">
      <c r="E18" s="22"/>
      <c r="F18" s="1">
        <v>13</v>
      </c>
      <c r="G18" s="17" t="s">
        <v>54</v>
      </c>
      <c r="H18" s="262" t="s">
        <v>35</v>
      </c>
      <c r="I18" s="263"/>
      <c r="L18" s="108"/>
      <c r="M18" s="23"/>
      <c r="R18" s="114" t="s">
        <v>101</v>
      </c>
    </row>
    <row r="19" spans="5:18" ht="19.5" thickBot="1">
      <c r="E19" s="22"/>
      <c r="F19" s="1">
        <v>14</v>
      </c>
      <c r="G19" s="128" t="s">
        <v>54</v>
      </c>
      <c r="H19" s="262" t="s">
        <v>36</v>
      </c>
      <c r="I19" s="263"/>
      <c r="L19" s="108"/>
      <c r="M19" s="23"/>
      <c r="R19" s="114" t="s">
        <v>102</v>
      </c>
    </row>
    <row r="20" spans="5:18" ht="19.5" thickBot="1">
      <c r="E20" s="22"/>
      <c r="F20" s="109">
        <v>15</v>
      </c>
      <c r="G20" s="110"/>
      <c r="H20" s="264" t="s">
        <v>37</v>
      </c>
      <c r="I20" s="265"/>
      <c r="L20" s="108"/>
      <c r="M20" s="23"/>
      <c r="R20" s="114" t="s">
        <v>103</v>
      </c>
    </row>
    <row r="21" spans="5:18" ht="19.5" thickBot="1">
      <c r="E21" s="22"/>
      <c r="F21" s="109">
        <v>16</v>
      </c>
      <c r="G21" s="110"/>
      <c r="H21" s="264" t="s">
        <v>38</v>
      </c>
      <c r="I21" s="265"/>
      <c r="L21" s="108"/>
      <c r="M21" s="23"/>
      <c r="R21" s="114" t="s">
        <v>104</v>
      </c>
    </row>
    <row r="22" spans="5:18" ht="18.75" customHeight="1" thickBot="1">
      <c r="E22" s="22"/>
      <c r="F22" s="1">
        <v>17</v>
      </c>
      <c r="G22" s="17" t="s">
        <v>54</v>
      </c>
      <c r="H22" s="262" t="str">
        <f>IF(K4=1,"施設機能強化推進費加算","【適用不可】施設機能強化推進費加算")</f>
        <v>施設機能強化推進費加算</v>
      </c>
      <c r="I22" s="263"/>
      <c r="L22" s="108"/>
      <c r="M22" s="23"/>
      <c r="R22" s="114" t="s">
        <v>105</v>
      </c>
    </row>
    <row r="23" spans="5:18" ht="19.5" thickBot="1">
      <c r="F23" s="1">
        <v>18</v>
      </c>
      <c r="G23" s="17" t="s">
        <v>54</v>
      </c>
      <c r="H23" s="77" t="s">
        <v>254</v>
      </c>
      <c r="I23" s="78" t="s">
        <v>82</v>
      </c>
      <c r="L23" t="s">
        <v>130</v>
      </c>
      <c r="R23" s="114" t="s">
        <v>106</v>
      </c>
    </row>
    <row r="24" spans="5:18" ht="19.5" thickBot="1">
      <c r="F24" s="1">
        <v>19</v>
      </c>
      <c r="G24" s="17"/>
      <c r="H24" s="262" t="s">
        <v>39</v>
      </c>
      <c r="I24" s="263"/>
      <c r="M24" s="45">
        <f>②児童名簿!Q15</f>
        <v>2</v>
      </c>
      <c r="R24" s="114" t="s">
        <v>107</v>
      </c>
    </row>
    <row r="25" spans="5:18" ht="18.75" customHeight="1" thickBot="1">
      <c r="F25" s="1">
        <v>20</v>
      </c>
      <c r="G25" s="17" t="s">
        <v>54</v>
      </c>
      <c r="H25" s="262" t="s">
        <v>221</v>
      </c>
      <c r="I25" s="263"/>
      <c r="R25" s="114" t="s">
        <v>108</v>
      </c>
    </row>
    <row r="26" spans="5:18">
      <c r="R26" s="114" t="s">
        <v>109</v>
      </c>
    </row>
    <row r="27" spans="5:18">
      <c r="R27" s="114" t="s">
        <v>110</v>
      </c>
    </row>
    <row r="28" spans="5:18">
      <c r="R28" s="114" t="s">
        <v>111</v>
      </c>
    </row>
    <row r="29" spans="5:18">
      <c r="R29" s="114" t="s">
        <v>112</v>
      </c>
    </row>
  </sheetData>
  <mergeCells count="19">
    <mergeCell ref="C13:D13"/>
    <mergeCell ref="C14:D14"/>
    <mergeCell ref="C15:D15"/>
    <mergeCell ref="H11:I11"/>
    <mergeCell ref="A6:G6"/>
    <mergeCell ref="A3:D3"/>
    <mergeCell ref="A1:I1"/>
    <mergeCell ref="C9:D9"/>
    <mergeCell ref="C10:D10"/>
    <mergeCell ref="H10:I10"/>
    <mergeCell ref="H9:I9"/>
    <mergeCell ref="H25:I25"/>
    <mergeCell ref="H19:I19"/>
    <mergeCell ref="H15:I15"/>
    <mergeCell ref="H22:I22"/>
    <mergeCell ref="H24:I24"/>
    <mergeCell ref="H20:I20"/>
    <mergeCell ref="H21:I21"/>
    <mergeCell ref="H18:I18"/>
  </mergeCells>
  <phoneticPr fontId="1"/>
  <dataValidations count="5">
    <dataValidation type="list" allowBlank="1" showInputMessage="1" showErrorMessage="1" sqref="B9:B15 G15 G18:G25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tabSelected="1" view="pageBreakPreview" zoomScale="130" zoomScaleNormal="130" zoomScaleSheetLayoutView="130" workbookViewId="0">
      <selection activeCell="N42" sqref="N42"/>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78" t="str">
        <f>①基本情報!A1</f>
        <v>教育・保育給付に係る加算等確認表（小規模保育事業A型)</v>
      </c>
      <c r="C1" s="278"/>
      <c r="D1" s="278"/>
      <c r="E1" s="278"/>
      <c r="F1" s="278"/>
      <c r="G1" s="278"/>
      <c r="H1" s="278"/>
      <c r="I1" s="278"/>
      <c r="J1" s="278"/>
      <c r="K1" s="278"/>
      <c r="L1" s="278"/>
      <c r="M1" s="278"/>
      <c r="N1" s="278"/>
      <c r="O1" s="4"/>
    </row>
    <row r="2" spans="1:16" s="4" customFormat="1" ht="15.75">
      <c r="B2" s="61"/>
      <c r="C2" s="61"/>
      <c r="D2" s="61"/>
      <c r="F2" s="61"/>
      <c r="G2" s="61"/>
      <c r="H2" s="61"/>
      <c r="O2" s="169">
        <f>改修履歴!A1</f>
        <v>0.99</v>
      </c>
    </row>
    <row r="3" spans="1:16" s="4" customFormat="1" ht="19.5" customHeight="1" thickBot="1">
      <c r="B3" s="283" t="s">
        <v>23</v>
      </c>
      <c r="C3" s="283"/>
      <c r="D3" s="283"/>
      <c r="E3" s="283"/>
      <c r="F3" s="283"/>
      <c r="N3" s="284" t="s">
        <v>162</v>
      </c>
      <c r="O3" s="284"/>
    </row>
    <row r="4" spans="1:16" s="4" customFormat="1" ht="19.5" customHeight="1" thickBot="1">
      <c r="B4" s="275" t="str">
        <f>①基本情報!A7</f>
        <v>記載例小規模保育園</v>
      </c>
      <c r="C4" s="276"/>
      <c r="D4" s="276"/>
      <c r="E4" s="276"/>
      <c r="F4" s="276"/>
      <c r="G4" s="276"/>
      <c r="H4" s="276"/>
      <c r="I4" s="276"/>
      <c r="J4" s="276"/>
      <c r="K4" s="277"/>
      <c r="L4" s="104"/>
      <c r="M4" s="79"/>
      <c r="N4" s="273">
        <f>①基本情報!A4</f>
        <v>45383</v>
      </c>
      <c r="O4" s="274"/>
    </row>
    <row r="5" spans="1:16" s="4" customFormat="1" ht="15.75">
      <c r="B5" s="61"/>
      <c r="C5" s="61"/>
      <c r="D5" s="61"/>
      <c r="F5" s="61"/>
      <c r="G5" s="61"/>
      <c r="H5" s="61"/>
    </row>
    <row r="6" spans="1:16" s="4" customFormat="1" ht="16.5" thickBot="1">
      <c r="B6" s="61"/>
      <c r="C6" s="61"/>
      <c r="D6" s="61"/>
      <c r="F6" s="61"/>
      <c r="G6" s="61"/>
      <c r="H6" s="61"/>
    </row>
    <row r="7" spans="1:16" s="4" customFormat="1" ht="16.5" thickBot="1">
      <c r="A7" s="279" t="s">
        <v>73</v>
      </c>
      <c r="B7" s="280"/>
      <c r="C7" s="280"/>
      <c r="D7" s="280"/>
      <c r="E7" s="280"/>
      <c r="F7" s="280"/>
      <c r="G7" s="280"/>
      <c r="H7" s="280"/>
      <c r="I7" s="281"/>
      <c r="K7" s="272" t="s">
        <v>159</v>
      </c>
      <c r="L7" s="272"/>
      <c r="M7" s="272"/>
      <c r="N7" s="272"/>
      <c r="O7" s="272"/>
    </row>
    <row r="8" spans="1:16" s="4" customFormat="1" ht="17.25" thickBot="1">
      <c r="A8" s="83"/>
      <c r="B8" s="82"/>
      <c r="C8" s="10"/>
      <c r="D8" s="10"/>
      <c r="E8" s="79"/>
      <c r="F8" s="82"/>
      <c r="G8" s="10"/>
      <c r="H8" s="10"/>
      <c r="I8" s="84"/>
      <c r="K8" s="282" t="str">
        <f>"常勤 "&amp;③職員名簿!Z28&amp;" 人+ 非常勤常勤換算 "&amp;③職員名簿!AB29&amp;"人"</f>
        <v>常勤 2 人+ 非常勤常勤換算 4.2人</v>
      </c>
      <c r="L8" s="282"/>
      <c r="M8" s="282"/>
      <c r="N8" s="99" t="s">
        <v>77</v>
      </c>
      <c r="O8" s="71">
        <f>③職員名簿!Z28+③職員名簿!AB29</f>
        <v>6.2</v>
      </c>
      <c r="P8" s="4" t="s">
        <v>72</v>
      </c>
    </row>
    <row r="9" spans="1:16" s="4" customFormat="1" ht="15.75">
      <c r="A9" s="83"/>
      <c r="B9" s="63" t="str">
        <f>IF(①基本情報!J4="","",①基本情報!J4)</f>
        <v>〇</v>
      </c>
      <c r="C9" s="75">
        <v>1</v>
      </c>
      <c r="D9" s="285" t="s">
        <v>134</v>
      </c>
      <c r="E9" s="285"/>
      <c r="F9" s="285"/>
      <c r="G9" s="285"/>
      <c r="H9" s="285"/>
      <c r="I9" s="84"/>
      <c r="O9" s="4" t="str">
        <f>IF(O8-M18&lt;=0,"NG","")</f>
        <v/>
      </c>
    </row>
    <row r="10" spans="1:16" s="4" customFormat="1" ht="15.75">
      <c r="A10" s="83"/>
      <c r="B10" s="63" t="str">
        <f>IF(①基本情報!J5="","",①基本情報!J5)</f>
        <v/>
      </c>
      <c r="C10" s="75">
        <v>2</v>
      </c>
      <c r="D10" s="285" t="s">
        <v>135</v>
      </c>
      <c r="E10" s="285"/>
      <c r="F10" s="285"/>
      <c r="G10" s="285"/>
      <c r="H10" s="285"/>
      <c r="I10" s="84"/>
      <c r="K10" s="271" t="s">
        <v>70</v>
      </c>
      <c r="L10" s="271"/>
      <c r="M10" s="271"/>
      <c r="N10" s="102"/>
    </row>
    <row r="11" spans="1:16" s="4" customFormat="1" ht="15.75">
      <c r="A11" s="83"/>
      <c r="B11" s="63" t="str">
        <f>IF(①基本情報!J6="","",①基本情報!J6)</f>
        <v/>
      </c>
      <c r="C11" s="75">
        <v>3</v>
      </c>
      <c r="D11" s="285" t="s">
        <v>136</v>
      </c>
      <c r="E11" s="285"/>
      <c r="F11" s="285"/>
      <c r="G11" s="285"/>
      <c r="H11" s="285"/>
      <c r="I11" s="84"/>
      <c r="K11" s="44"/>
      <c r="L11" s="44" t="s">
        <v>49</v>
      </c>
      <c r="M11" s="44" t="s">
        <v>50</v>
      </c>
    </row>
    <row r="12" spans="1:16" s="4" customFormat="1" ht="15.75" customHeight="1">
      <c r="A12" s="83"/>
      <c r="B12" s="63" t="str">
        <f>IF(①基本情報!J7="","",①基本情報!J7)</f>
        <v>〇</v>
      </c>
      <c r="C12" s="75">
        <v>4</v>
      </c>
      <c r="D12" s="285" t="s">
        <v>138</v>
      </c>
      <c r="E12" s="285"/>
      <c r="F12" s="285"/>
      <c r="G12" s="285"/>
      <c r="H12" s="285"/>
      <c r="I12" s="84"/>
      <c r="K12" s="44" t="s">
        <v>47</v>
      </c>
      <c r="L12" s="11">
        <f>②児童名簿!K11</f>
        <v>2</v>
      </c>
      <c r="M12" s="64">
        <f>ROUNDDOWN(L12/3,1)</f>
        <v>0.6</v>
      </c>
      <c r="N12" s="4" t="s">
        <v>72</v>
      </c>
    </row>
    <row r="13" spans="1:16" s="4" customFormat="1" ht="15.75">
      <c r="A13" s="83"/>
      <c r="B13" s="63" t="str">
        <f>IF(①基本情報!J8="","",①基本情報!J8)</f>
        <v>〇</v>
      </c>
      <c r="C13" s="100">
        <v>5</v>
      </c>
      <c r="D13" s="285" t="s">
        <v>137</v>
      </c>
      <c r="E13" s="285"/>
      <c r="F13" s="285"/>
      <c r="G13" s="285"/>
      <c r="H13" s="285"/>
      <c r="I13" s="84"/>
      <c r="K13" s="44" t="s">
        <v>52</v>
      </c>
      <c r="L13" s="11">
        <f>②児童名簿!L11+②児童名簿!M11</f>
        <v>15</v>
      </c>
      <c r="M13" s="64">
        <f>ROUNDDOWN(L13/6,1)</f>
        <v>2.5</v>
      </c>
      <c r="N13" s="4" t="s">
        <v>72</v>
      </c>
    </row>
    <row r="14" spans="1:16" s="4" customFormat="1" ht="15.75">
      <c r="A14" s="83"/>
      <c r="B14" s="10"/>
      <c r="C14" s="10" t="str">
        <f>IF(D14&gt;=2,"OK","")</f>
        <v/>
      </c>
      <c r="D14" s="80"/>
      <c r="E14" s="81"/>
      <c r="F14" s="66"/>
      <c r="G14" s="10"/>
      <c r="H14" s="67">
        <f>①基本情報!N2</f>
        <v>3</v>
      </c>
      <c r="I14" s="84"/>
      <c r="K14" s="44" t="s">
        <v>48</v>
      </c>
      <c r="L14" s="11">
        <f>②児童名簿!N11</f>
        <v>0</v>
      </c>
      <c r="M14" s="64">
        <f>IF(B22="〇",ROUNDDOWN(L14/15,1),ROUNDDOWN(L14/20,1))</f>
        <v>0</v>
      </c>
      <c r="N14" s="4" t="s">
        <v>72</v>
      </c>
    </row>
    <row r="15" spans="1:16" s="4" customFormat="1" ht="16.5" thickBot="1">
      <c r="A15" s="85"/>
      <c r="B15" s="86"/>
      <c r="C15" s="86"/>
      <c r="D15" s="87"/>
      <c r="E15" s="88"/>
      <c r="F15" s="89"/>
      <c r="G15" s="86"/>
      <c r="H15" s="90"/>
      <c r="I15" s="91"/>
      <c r="K15" s="44" t="s">
        <v>53</v>
      </c>
      <c r="L15" s="11">
        <f>②児童名簿!O11+②児童名簿!P11</f>
        <v>0</v>
      </c>
      <c r="M15" s="68">
        <f>ROUNDDOWN(L15/30,1)</f>
        <v>0</v>
      </c>
      <c r="N15" s="4" t="s">
        <v>72</v>
      </c>
    </row>
    <row r="16" spans="1:16" s="4" customFormat="1" ht="16.5" thickBot="1">
      <c r="B16" s="10"/>
      <c r="C16" s="10"/>
      <c r="D16" s="80"/>
      <c r="E16" s="81"/>
      <c r="F16" s="66"/>
      <c r="G16" s="66"/>
      <c r="H16" s="67"/>
      <c r="K16" s="130"/>
      <c r="L16" s="65" t="s">
        <v>51</v>
      </c>
      <c r="M16" s="70">
        <f>SUM(M12:M15)</f>
        <v>3.1</v>
      </c>
      <c r="N16" s="4" t="s">
        <v>72</v>
      </c>
      <c r="O16" s="79"/>
    </row>
    <row r="17" spans="1:16" s="4" customFormat="1" ht="19.5" customHeight="1" thickBot="1">
      <c r="A17" s="289" t="s">
        <v>71</v>
      </c>
      <c r="B17" s="290"/>
      <c r="C17" s="290"/>
      <c r="D17" s="290"/>
      <c r="E17" s="290"/>
      <c r="F17" s="290"/>
      <c r="G17" s="290"/>
      <c r="H17" s="290"/>
      <c r="I17" s="291"/>
      <c r="K17" s="131"/>
      <c r="M17" s="152" t="s">
        <v>171</v>
      </c>
    </row>
    <row r="18" spans="1:16" s="4" customFormat="1" ht="16.5" thickBot="1">
      <c r="A18" s="83"/>
      <c r="B18" s="82" t="s">
        <v>40</v>
      </c>
      <c r="C18" s="10"/>
      <c r="D18" s="10"/>
      <c r="E18" s="69"/>
      <c r="F18" s="82" t="s">
        <v>32</v>
      </c>
      <c r="G18" s="10"/>
      <c r="H18" s="10"/>
      <c r="I18" s="84"/>
      <c r="M18" s="70">
        <f>ROUND(M16+1,0)</f>
        <v>4</v>
      </c>
      <c r="N18" s="4" t="s">
        <v>72</v>
      </c>
      <c r="O18" s="70">
        <f>O8-M18</f>
        <v>2.2000000000000002</v>
      </c>
      <c r="P18" s="4" t="s">
        <v>72</v>
      </c>
    </row>
    <row r="19" spans="1:16" s="4" customFormat="1" ht="15.75">
      <c r="A19" s="83"/>
      <c r="B19" s="63" t="str">
        <f>IF(④加算!B9="","",④加算!B9)</f>
        <v>〇</v>
      </c>
      <c r="C19" s="75">
        <v>1</v>
      </c>
      <c r="D19" s="75" t="s">
        <v>65</v>
      </c>
      <c r="E19" s="69"/>
      <c r="F19" s="63" t="str">
        <f>IF(④加算!G9="","",④加算!G9)</f>
        <v/>
      </c>
      <c r="G19" s="75"/>
      <c r="H19" s="75" t="s">
        <v>145</v>
      </c>
      <c r="I19" s="84"/>
      <c r="K19" s="288"/>
      <c r="L19" s="288"/>
    </row>
    <row r="20" spans="1:16" s="4" customFormat="1" ht="15.75">
      <c r="A20" s="83"/>
      <c r="B20" s="63" t="str">
        <f>IF(④加算!B10="","",④加算!B10)</f>
        <v/>
      </c>
      <c r="C20" s="75">
        <v>2</v>
      </c>
      <c r="D20" s="75" t="s">
        <v>139</v>
      </c>
      <c r="E20" s="69"/>
      <c r="F20" s="63" t="str">
        <f>IF(④加算!G10="","",④加算!G10)</f>
        <v/>
      </c>
      <c r="G20" s="75"/>
      <c r="H20" s="75" t="s">
        <v>146</v>
      </c>
      <c r="I20" s="84"/>
      <c r="K20" s="288" t="s">
        <v>92</v>
      </c>
      <c r="L20" s="288"/>
      <c r="M20" s="112" t="str">
        <f>IF(O18&gt;=0,"満たしている","満たしていない")</f>
        <v>満たしている</v>
      </c>
      <c r="N20" s="131"/>
    </row>
    <row r="21" spans="1:16" s="4" customFormat="1" ht="15.75">
      <c r="A21" s="83"/>
      <c r="B21" s="63">
        <f>IF(④加算!B11="","",④加算!C11)</f>
        <v>2</v>
      </c>
      <c r="C21" s="75">
        <v>3</v>
      </c>
      <c r="D21" s="75" t="s">
        <v>140</v>
      </c>
      <c r="E21" s="69"/>
      <c r="F21" s="63" t="str">
        <f>IF(④加算!G11="","",④加算!G11)</f>
        <v/>
      </c>
      <c r="G21" s="75"/>
      <c r="H21" s="75" t="s">
        <v>147</v>
      </c>
      <c r="I21" s="84"/>
      <c r="K21" s="131"/>
      <c r="L21" s="131"/>
      <c r="M21" s="131"/>
      <c r="N21" s="131"/>
    </row>
    <row r="22" spans="1:16" s="4" customFormat="1" ht="15.75">
      <c r="A22" s="83"/>
      <c r="B22" s="63" t="str">
        <f>IF(④加算!B12="","",④加算!C12)</f>
        <v/>
      </c>
      <c r="C22" s="75">
        <v>4</v>
      </c>
      <c r="D22" s="75" t="s">
        <v>141</v>
      </c>
      <c r="E22" s="69"/>
      <c r="F22" s="63" t="str">
        <f>IF(④加算!G12="","",④加算!H12)</f>
        <v/>
      </c>
      <c r="G22" s="122"/>
      <c r="H22" s="122" t="s">
        <v>81</v>
      </c>
      <c r="I22" s="84"/>
    </row>
    <row r="23" spans="1:16" s="4" customFormat="1" ht="15.75">
      <c r="A23" s="83"/>
      <c r="B23" s="63" t="str">
        <f>IF(④加算!B13="","",④加算!B13)</f>
        <v/>
      </c>
      <c r="C23" s="75">
        <v>5</v>
      </c>
      <c r="D23" s="75" t="s">
        <v>142</v>
      </c>
      <c r="E23" s="69"/>
      <c r="F23" s="10"/>
      <c r="G23" s="10"/>
      <c r="H23" s="10"/>
      <c r="I23" s="84"/>
      <c r="K23" s="293" t="s">
        <v>91</v>
      </c>
      <c r="L23" s="294"/>
      <c r="M23" s="294"/>
    </row>
    <row r="24" spans="1:16" s="4" customFormat="1" ht="15.75">
      <c r="A24" s="83"/>
      <c r="B24" s="63" t="str">
        <f>IF(④加算!B14="","",④加算!B14)</f>
        <v/>
      </c>
      <c r="C24" s="75">
        <v>6</v>
      </c>
      <c r="D24" s="75" t="s">
        <v>143</v>
      </c>
      <c r="E24" s="69"/>
      <c r="F24" s="82" t="s">
        <v>33</v>
      </c>
      <c r="G24" s="10"/>
      <c r="H24" s="10"/>
      <c r="I24" s="84"/>
      <c r="K24" s="292" t="s">
        <v>83</v>
      </c>
      <c r="L24" s="292"/>
      <c r="M24" s="101">
        <f>IF(B10="〇",1,0)</f>
        <v>0</v>
      </c>
      <c r="N24" s="4" t="s">
        <v>72</v>
      </c>
    </row>
    <row r="25" spans="1:16" s="4" customFormat="1" ht="15.75">
      <c r="A25" s="83"/>
      <c r="B25" s="63" t="str">
        <f>IF(④加算!B15="","",④加算!B15)</f>
        <v>〇</v>
      </c>
      <c r="C25" s="75">
        <v>7</v>
      </c>
      <c r="D25" s="75" t="s">
        <v>144</v>
      </c>
      <c r="E25" s="69"/>
      <c r="F25" s="63" t="str">
        <f>IF(④加算!G15="","",④加算!G15)</f>
        <v/>
      </c>
      <c r="G25" s="122"/>
      <c r="H25" s="122" t="s">
        <v>148</v>
      </c>
      <c r="I25" s="84"/>
      <c r="M25" s="132"/>
    </row>
    <row r="26" spans="1:16" s="4" customFormat="1" ht="16.5" thickBot="1">
      <c r="A26" s="83"/>
      <c r="B26" s="10"/>
      <c r="C26" s="10"/>
      <c r="D26" s="10"/>
      <c r="E26" s="69"/>
      <c r="F26" s="10"/>
      <c r="G26" s="10"/>
      <c r="H26" s="10"/>
      <c r="I26" s="84"/>
      <c r="K26" s="141" t="s">
        <v>173</v>
      </c>
    </row>
    <row r="27" spans="1:16" s="4" customFormat="1" ht="16.5" thickBot="1">
      <c r="A27" s="83"/>
      <c r="B27" s="10"/>
      <c r="C27" s="10"/>
      <c r="D27" s="10"/>
      <c r="E27" s="69"/>
      <c r="F27" s="82" t="s">
        <v>34</v>
      </c>
      <c r="G27" s="10"/>
      <c r="H27" s="10"/>
      <c r="I27" s="84"/>
      <c r="K27" s="287" t="s">
        <v>174</v>
      </c>
      <c r="L27" s="287"/>
      <c r="M27" s="101" t="str">
        <f>IF(③職員名簿!AE13=1,"OK","NG")</f>
        <v>OK</v>
      </c>
      <c r="N27" s="139">
        <f>IF(COUNTIF(M27,"OK")=1,1,0)</f>
        <v>1</v>
      </c>
      <c r="O27" s="70">
        <f>O18-M24</f>
        <v>2.2000000000000002</v>
      </c>
      <c r="P27" s="4" t="s">
        <v>72</v>
      </c>
    </row>
    <row r="28" spans="1:16" s="4" customFormat="1" ht="18.75" customHeight="1">
      <c r="A28" s="83"/>
      <c r="B28" s="10"/>
      <c r="C28" s="10"/>
      <c r="D28" s="10"/>
      <c r="E28" s="69"/>
      <c r="F28" s="63" t="str">
        <f>IF(④加算!G18="","",④加算!G18)</f>
        <v>〇</v>
      </c>
      <c r="G28" s="122">
        <v>24</v>
      </c>
      <c r="H28" s="122" t="s">
        <v>66</v>
      </c>
      <c r="I28" s="84"/>
      <c r="J28" s="158"/>
      <c r="K28" s="295" t="s">
        <v>175</v>
      </c>
      <c r="L28" s="295"/>
      <c r="M28" s="157"/>
    </row>
    <row r="29" spans="1:16" s="4" customFormat="1" ht="15.75">
      <c r="A29" s="83"/>
      <c r="B29" s="10"/>
      <c r="C29" s="10"/>
      <c r="D29" s="10"/>
      <c r="E29" s="69"/>
      <c r="F29" s="63" t="str">
        <f>IF(④加算!G19="","",④加算!G19)</f>
        <v>〇</v>
      </c>
      <c r="G29" s="122">
        <v>25</v>
      </c>
      <c r="H29" s="122" t="s">
        <v>67</v>
      </c>
      <c r="I29" s="84"/>
      <c r="J29" s="158"/>
      <c r="K29" s="296"/>
      <c r="L29" s="296"/>
      <c r="M29" s="112" t="str">
        <f>IF($O$27&gt;=0,IF(N27=1,"満たしている","満たしていない"),"満たしていない")</f>
        <v>満たしている</v>
      </c>
    </row>
    <row r="30" spans="1:16" s="4" customFormat="1" ht="16.5" customHeight="1">
      <c r="A30" s="83"/>
      <c r="B30" s="10"/>
      <c r="C30" s="10"/>
      <c r="D30" s="10"/>
      <c r="E30" s="69"/>
      <c r="F30" s="111" t="str">
        <f>IF(④加算!G20="","",④加算!G20)</f>
        <v/>
      </c>
      <c r="G30" s="111">
        <v>31</v>
      </c>
      <c r="H30" s="111" t="s">
        <v>68</v>
      </c>
      <c r="I30" s="84"/>
    </row>
    <row r="31" spans="1:16" s="4" customFormat="1" ht="15.75">
      <c r="A31" s="83"/>
      <c r="B31" s="10"/>
      <c r="C31" s="10"/>
      <c r="D31" s="10"/>
      <c r="E31" s="69"/>
      <c r="F31" s="111" t="str">
        <f>IF(④加算!G21="","",④加算!G21)</f>
        <v/>
      </c>
      <c r="G31" s="111">
        <v>32</v>
      </c>
      <c r="H31" s="111" t="s">
        <v>69</v>
      </c>
      <c r="I31" s="84"/>
    </row>
    <row r="32" spans="1:16" s="4" customFormat="1" ht="15" customHeight="1">
      <c r="A32" s="83"/>
      <c r="B32" s="10"/>
      <c r="C32" s="10"/>
      <c r="D32" s="10"/>
      <c r="E32" s="69"/>
      <c r="F32" s="63" t="str">
        <f>IF(④加算!G22="","",④加算!G22)</f>
        <v>〇</v>
      </c>
      <c r="G32" s="122">
        <v>28</v>
      </c>
      <c r="H32" s="122" t="s">
        <v>80</v>
      </c>
      <c r="I32" s="84"/>
      <c r="K32" s="143" t="s">
        <v>165</v>
      </c>
      <c r="L32" s="142"/>
      <c r="M32" s="142"/>
      <c r="N32" s="138"/>
    </row>
    <row r="33" spans="1:16" s="4" customFormat="1" ht="15.75">
      <c r="A33" s="83"/>
      <c r="B33" s="10"/>
      <c r="C33" s="10"/>
      <c r="D33" s="10"/>
      <c r="E33" s="79"/>
      <c r="F33" s="63" t="str">
        <f>IF(④加算!G23="","",④加算!H23)</f>
        <v>B</v>
      </c>
      <c r="G33" s="122">
        <v>29</v>
      </c>
      <c r="H33" s="122" t="s">
        <v>78</v>
      </c>
      <c r="I33" s="84"/>
      <c r="K33" s="122"/>
      <c r="L33" s="122" t="s">
        <v>49</v>
      </c>
      <c r="M33" s="122" t="s">
        <v>50</v>
      </c>
    </row>
    <row r="34" spans="1:16" s="4" customFormat="1" ht="15.75">
      <c r="A34" s="83"/>
      <c r="B34" s="10"/>
      <c r="C34" s="10"/>
      <c r="D34" s="10"/>
      <c r="E34" s="79"/>
      <c r="F34" s="63" t="str">
        <f>IF(④加算!G24="","",④加算!G24)</f>
        <v/>
      </c>
      <c r="G34" s="122">
        <v>30</v>
      </c>
      <c r="H34" s="122" t="s">
        <v>79</v>
      </c>
      <c r="I34" s="84"/>
      <c r="K34" s="122" t="s">
        <v>47</v>
      </c>
      <c r="L34" s="11">
        <f>②児童名簿!K19</f>
        <v>2</v>
      </c>
      <c r="M34" s="64">
        <f>ROUNDDOWN(L34/3,1)</f>
        <v>0.6</v>
      </c>
      <c r="N34" s="4" t="s">
        <v>72</v>
      </c>
    </row>
    <row r="35" spans="1:16" s="4" customFormat="1" ht="15.75">
      <c r="A35" s="83"/>
      <c r="B35" s="10"/>
      <c r="C35" s="10"/>
      <c r="D35" s="10"/>
      <c r="E35" s="79"/>
      <c r="F35" s="63" t="str">
        <f>IF(④加算!G25="","",④加算!G25)</f>
        <v>〇</v>
      </c>
      <c r="G35" s="205">
        <v>31</v>
      </c>
      <c r="H35" s="205" t="s">
        <v>222</v>
      </c>
      <c r="I35" s="84"/>
      <c r="K35" s="122" t="s">
        <v>52</v>
      </c>
      <c r="L35" s="11">
        <f>②児童名簿!L19+②児童名簿!M19</f>
        <v>13</v>
      </c>
      <c r="M35" s="64">
        <f>ROUNDDOWN(L35/6,1)</f>
        <v>2.1</v>
      </c>
      <c r="N35" s="4" t="s">
        <v>72</v>
      </c>
    </row>
    <row r="36" spans="1:16" s="4" customFormat="1" ht="15.75">
      <c r="A36" s="83"/>
      <c r="B36" s="10"/>
      <c r="C36" s="10"/>
      <c r="D36" s="10"/>
      <c r="E36" s="79"/>
      <c r="F36" s="10"/>
      <c r="G36" s="10"/>
      <c r="H36" s="10"/>
      <c r="I36" s="84"/>
      <c r="K36" s="122" t="s">
        <v>48</v>
      </c>
      <c r="L36" s="11">
        <f>②児童名簿!N19</f>
        <v>0</v>
      </c>
      <c r="M36" s="64">
        <f>IF(B46="〇",ROUNDDOWN(L36/15,1),ROUNDDOWN(L36/20,1))</f>
        <v>0</v>
      </c>
      <c r="N36" s="4" t="s">
        <v>72</v>
      </c>
    </row>
    <row r="37" spans="1:16" s="4" customFormat="1" ht="16.5" thickBot="1">
      <c r="A37" s="85"/>
      <c r="B37" s="86"/>
      <c r="C37" s="86"/>
      <c r="D37" s="86"/>
      <c r="E37" s="92"/>
      <c r="F37" s="86"/>
      <c r="G37" s="86"/>
      <c r="H37" s="86"/>
      <c r="I37" s="91"/>
      <c r="K37" s="122" t="s">
        <v>53</v>
      </c>
      <c r="L37" s="11">
        <f>②児童名簿!O19+②児童名簿!P19</f>
        <v>0</v>
      </c>
      <c r="M37" s="64">
        <f>ROUNDDOWN(L37/30,1)</f>
        <v>0</v>
      </c>
      <c r="N37" s="4" t="s">
        <v>72</v>
      </c>
    </row>
    <row r="38" spans="1:16" s="4" customFormat="1" ht="15.75">
      <c r="A38" s="155"/>
      <c r="B38" s="10"/>
      <c r="C38" s="10"/>
      <c r="D38" s="10"/>
      <c r="E38" s="79"/>
      <c r="F38" s="10"/>
      <c r="G38" s="10"/>
      <c r="H38" s="10"/>
      <c r="I38" s="79"/>
      <c r="J38" s="79"/>
      <c r="K38" s="143" t="s">
        <v>177</v>
      </c>
      <c r="L38" s="144"/>
      <c r="M38" s="144"/>
      <c r="N38" s="138"/>
    </row>
    <row r="39" spans="1:16" s="4" customFormat="1" ht="15.75">
      <c r="A39" s="79"/>
      <c r="B39" s="10"/>
      <c r="C39" s="10"/>
      <c r="D39" s="10"/>
      <c r="E39" s="79"/>
      <c r="F39" s="10"/>
      <c r="G39" s="10"/>
      <c r="H39" s="10"/>
      <c r="I39" s="79"/>
      <c r="J39" s="79"/>
      <c r="K39" s="122"/>
      <c r="L39" s="122" t="s">
        <v>49</v>
      </c>
      <c r="M39" s="122" t="s">
        <v>50</v>
      </c>
    </row>
    <row r="40" spans="1:16" s="4" customFormat="1" ht="15.75">
      <c r="A40" s="79"/>
      <c r="B40" s="10"/>
      <c r="C40" s="10"/>
      <c r="D40" s="10"/>
      <c r="E40" s="79"/>
      <c r="F40" s="10"/>
      <c r="G40" s="10"/>
      <c r="H40" s="10"/>
      <c r="I40" s="79"/>
      <c r="J40" s="79"/>
      <c r="K40" s="122" t="s">
        <v>158</v>
      </c>
      <c r="L40" s="11">
        <f>④加算!$M$24</f>
        <v>2</v>
      </c>
      <c r="M40" s="68">
        <f>ROUNDDOWN(L40/2,1)</f>
        <v>1</v>
      </c>
      <c r="N40" s="4" t="s">
        <v>72</v>
      </c>
    </row>
    <row r="41" spans="1:16" s="4" customFormat="1" ht="15.75">
      <c r="A41" s="79"/>
      <c r="B41" s="10"/>
      <c r="C41" s="10"/>
      <c r="D41" s="10"/>
      <c r="E41" s="79"/>
      <c r="F41" s="10"/>
      <c r="G41" s="10"/>
      <c r="H41" s="10"/>
      <c r="I41" s="79"/>
      <c r="J41" s="79"/>
      <c r="L41" s="65" t="s">
        <v>3</v>
      </c>
      <c r="M41" s="140">
        <f>SUM(M34:M37,M40)</f>
        <v>3.7</v>
      </c>
      <c r="N41" s="4" t="s">
        <v>72</v>
      </c>
    </row>
    <row r="42" spans="1:16" s="4" customFormat="1" ht="15.75">
      <c r="A42" s="79"/>
      <c r="B42" s="10"/>
      <c r="C42" s="10"/>
      <c r="D42" s="154" t="s">
        <v>172</v>
      </c>
      <c r="E42" s="79"/>
      <c r="F42" s="10"/>
      <c r="G42" s="10"/>
      <c r="H42" s="10"/>
      <c r="I42" s="79"/>
      <c r="J42" s="79"/>
    </row>
    <row r="43" spans="1:16" s="4" customFormat="1" ht="15.75" customHeight="1">
      <c r="A43" s="79"/>
      <c r="B43" s="10"/>
      <c r="C43" s="10"/>
      <c r="D43" s="287" t="s">
        <v>155</v>
      </c>
      <c r="E43" s="287"/>
      <c r="F43" s="287"/>
      <c r="G43" s="287"/>
      <c r="H43" s="153" t="str">
        <f>IF(③職員名簿!AD11=1,"OK","NG")</f>
        <v>OK</v>
      </c>
      <c r="I43" s="79"/>
      <c r="J43" s="79"/>
      <c r="K43" s="297" t="s">
        <v>178</v>
      </c>
      <c r="L43" s="298"/>
      <c r="M43" s="140">
        <f>ROUND(M41+1,0)</f>
        <v>5</v>
      </c>
      <c r="N43" s="4" t="s">
        <v>72</v>
      </c>
    </row>
    <row r="44" spans="1:16" s="4" customFormat="1" ht="15.75" customHeight="1" thickBot="1">
      <c r="A44" s="79"/>
      <c r="B44" s="10"/>
      <c r="C44" s="10"/>
      <c r="D44" s="287" t="s">
        <v>156</v>
      </c>
      <c r="E44" s="287"/>
      <c r="F44" s="287"/>
      <c r="G44" s="287"/>
      <c r="H44" s="153" t="str">
        <f>IF(③職員名簿!AD14=1,"OK","NG")</f>
        <v>OK</v>
      </c>
      <c r="I44" s="79"/>
      <c r="J44" s="79"/>
    </row>
    <row r="45" spans="1:16" s="4" customFormat="1" ht="15.75" customHeight="1" thickBot="1">
      <c r="A45" s="79"/>
      <c r="B45" s="10"/>
      <c r="C45" s="156">
        <f>IF(COUNTIF(H43:H45,"OK")=3,1,0)</f>
        <v>1</v>
      </c>
      <c r="D45" s="287" t="s">
        <v>157</v>
      </c>
      <c r="E45" s="287"/>
      <c r="F45" s="287"/>
      <c r="G45" s="287"/>
      <c r="H45" s="153" t="str">
        <f>IF(③職員名簿!AD15=1,"OK","NG")</f>
        <v>OK</v>
      </c>
      <c r="I45" s="79"/>
      <c r="J45" s="79"/>
      <c r="K45" s="287" t="s">
        <v>126</v>
      </c>
      <c r="L45" s="233"/>
      <c r="M45" s="133">
        <f>M43-M18</f>
        <v>1</v>
      </c>
      <c r="N45" s="4" t="s">
        <v>72</v>
      </c>
      <c r="O45" s="70">
        <f>O27-M45</f>
        <v>1.2000000000000002</v>
      </c>
      <c r="P45" s="4" t="s">
        <v>72</v>
      </c>
    </row>
    <row r="46" spans="1:16" s="4" customFormat="1" ht="15.75">
      <c r="A46" s="79"/>
      <c r="B46" s="10"/>
      <c r="C46" s="10"/>
      <c r="D46" s="10"/>
      <c r="E46" s="79"/>
      <c r="F46" s="10"/>
      <c r="G46" s="10"/>
      <c r="H46" s="10"/>
      <c r="I46" s="79"/>
      <c r="J46" s="79"/>
      <c r="K46" s="141" t="s">
        <v>161</v>
      </c>
    </row>
    <row r="47" spans="1:16" s="4" customFormat="1" ht="18.75" customHeight="1">
      <c r="A47" s="79"/>
      <c r="B47" s="10"/>
      <c r="C47" s="10"/>
      <c r="D47" s="10"/>
      <c r="E47" s="79"/>
      <c r="F47" s="10"/>
      <c r="G47" s="10"/>
      <c r="H47" s="10"/>
      <c r="K47" s="286" t="str">
        <f>IF(L40=0,"",IF($O$45&gt;=0,IF($N$27=1,"障害児保育加算　適用OK","障害児保育加算　適用不可（基本分）"),"障害児保育加算　適用不可（職員数）"))</f>
        <v>障害児保育加算　適用OK</v>
      </c>
      <c r="L47" s="286"/>
      <c r="M47" s="286"/>
    </row>
    <row r="48" spans="1:16" s="4" customFormat="1" ht="15.75">
      <c r="B48" s="61"/>
      <c r="C48" s="61"/>
      <c r="D48" s="61"/>
      <c r="F48" s="61"/>
      <c r="G48" s="61"/>
      <c r="H48" s="61"/>
    </row>
    <row r="49" spans="1:16" s="4" customFormat="1">
      <c r="B49" s="61"/>
      <c r="C49" s="61"/>
      <c r="D49" s="61"/>
      <c r="F49" s="61"/>
      <c r="G49" s="61"/>
      <c r="H49" s="61"/>
      <c r="J49"/>
    </row>
    <row r="50" spans="1:16">
      <c r="A50" s="4"/>
      <c r="B50" s="61"/>
      <c r="C50" s="61"/>
      <c r="D50" s="61"/>
      <c r="E50" s="4"/>
      <c r="F50" s="61"/>
      <c r="G50" s="61"/>
      <c r="H50" s="61"/>
      <c r="I50" s="4"/>
      <c r="K50" s="4"/>
      <c r="L50" s="4"/>
      <c r="M50" s="4"/>
      <c r="N50" s="4"/>
      <c r="O50" s="4"/>
      <c r="P50" s="4"/>
    </row>
    <row r="51" spans="1:16">
      <c r="B51" s="61"/>
      <c r="C51" s="61"/>
      <c r="D51" s="61"/>
      <c r="E51" s="4"/>
      <c r="F51" s="61"/>
      <c r="G51" s="61"/>
      <c r="H51" s="61"/>
      <c r="K51" s="4"/>
      <c r="L51" s="4"/>
      <c r="M51" s="4"/>
      <c r="N51" s="4"/>
      <c r="O51" s="4"/>
      <c r="P51" s="4"/>
    </row>
    <row r="52" spans="1:16">
      <c r="B52" s="61"/>
      <c r="C52" s="61"/>
      <c r="D52" s="61"/>
      <c r="E52" s="4"/>
      <c r="F52" s="61"/>
      <c r="G52" s="61"/>
      <c r="H52" s="61"/>
      <c r="K52" s="4"/>
      <c r="L52" s="4"/>
      <c r="M52" s="4"/>
      <c r="N52" s="4"/>
      <c r="O52" s="4"/>
      <c r="P52" s="4"/>
    </row>
    <row r="53" spans="1:16">
      <c r="B53" s="61"/>
      <c r="C53" s="61"/>
      <c r="D53" s="61"/>
      <c r="E53" s="4"/>
      <c r="F53" s="61"/>
      <c r="G53" s="61"/>
      <c r="H53" s="61"/>
      <c r="K53" s="4"/>
      <c r="L53" s="4"/>
      <c r="M53" s="4"/>
      <c r="N53" s="4"/>
      <c r="O53" s="4"/>
      <c r="P53" s="4"/>
    </row>
    <row r="54" spans="1:16">
      <c r="B54" s="61"/>
      <c r="C54" s="61"/>
      <c r="D54" s="61"/>
      <c r="E54" s="4"/>
      <c r="F54" s="61"/>
      <c r="G54" s="61"/>
      <c r="H54" s="61"/>
      <c r="K54" s="4"/>
      <c r="L54" s="4"/>
      <c r="M54" s="4"/>
      <c r="N54" s="4"/>
      <c r="O54" s="4"/>
      <c r="P54" s="4"/>
    </row>
    <row r="55" spans="1:16">
      <c r="B55" s="61"/>
      <c r="C55" s="61"/>
      <c r="D55" s="61"/>
      <c r="E55" s="4"/>
      <c r="F55" s="61"/>
      <c r="G55" s="61"/>
      <c r="H55" s="61"/>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 ref="K10:M10"/>
    <mergeCell ref="K7:O7"/>
    <mergeCell ref="N4:O4"/>
    <mergeCell ref="B4:K4"/>
    <mergeCell ref="B1:N1"/>
    <mergeCell ref="A7:I7"/>
    <mergeCell ref="K8:M8"/>
    <mergeCell ref="B3:F3"/>
    <mergeCell ref="N3:O3"/>
    <mergeCell ref="D9:H9"/>
    <mergeCell ref="D10:H10"/>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211</v>
      </c>
    </row>
    <row r="21" spans="1:13">
      <c r="A21" s="105" t="s">
        <v>86</v>
      </c>
      <c r="B21" s="299" t="s">
        <v>167</v>
      </c>
      <c r="C21" s="299"/>
      <c r="D21" s="299"/>
      <c r="E21" s="299"/>
      <c r="F21" s="299"/>
      <c r="G21" s="299"/>
      <c r="H21" s="299"/>
      <c r="I21" s="299"/>
      <c r="J21" s="299"/>
      <c r="K21" s="299"/>
      <c r="L21" s="299"/>
      <c r="M21" s="299"/>
    </row>
    <row r="22" spans="1:13" ht="18.75" customHeight="1">
      <c r="A22" s="106" t="s">
        <v>87</v>
      </c>
      <c r="B22" s="299" t="s">
        <v>169</v>
      </c>
      <c r="C22" s="299"/>
      <c r="D22" s="299"/>
      <c r="E22" s="299"/>
      <c r="F22" s="299"/>
      <c r="G22" s="299"/>
      <c r="H22" s="299"/>
      <c r="I22" s="299"/>
      <c r="J22" s="299"/>
      <c r="K22" s="299"/>
      <c r="L22" s="299"/>
      <c r="M22" s="299"/>
    </row>
    <row r="23" spans="1:13" ht="18.75" customHeight="1">
      <c r="A23" s="106" t="s">
        <v>88</v>
      </c>
      <c r="B23" s="300" t="s">
        <v>115</v>
      </c>
      <c r="C23" s="300"/>
      <c r="D23" s="300"/>
      <c r="E23" s="300"/>
      <c r="F23" s="300"/>
      <c r="G23" s="300"/>
      <c r="H23" s="300"/>
      <c r="I23" s="300"/>
      <c r="J23" s="300"/>
      <c r="K23" s="300"/>
      <c r="L23" s="300"/>
      <c r="M23" s="300"/>
    </row>
    <row r="24" spans="1:13">
      <c r="A24" s="106" t="s">
        <v>168</v>
      </c>
      <c r="B24" s="150" t="s">
        <v>116</v>
      </c>
      <c r="C24" s="119"/>
      <c r="D24" s="119"/>
      <c r="E24" s="119"/>
      <c r="F24" s="119"/>
      <c r="G24" s="119"/>
      <c r="H24" s="119"/>
      <c r="I24" s="119"/>
      <c r="J24" s="119"/>
      <c r="K24" s="119"/>
      <c r="L24" s="119"/>
      <c r="M24" s="119"/>
    </row>
    <row r="25" spans="1:13">
      <c r="A25" s="106"/>
      <c r="B25" s="119"/>
      <c r="C25" s="119"/>
      <c r="D25" s="119"/>
      <c r="E25" s="119"/>
      <c r="F25" s="119"/>
      <c r="G25" s="119"/>
      <c r="H25" s="119"/>
      <c r="I25" s="119"/>
      <c r="J25" s="119"/>
      <c r="K25" s="119"/>
      <c r="L25" s="119"/>
      <c r="M25" s="119"/>
    </row>
    <row r="26" spans="1:13">
      <c r="M26" s="107" t="s">
        <v>89</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A3" sqref="A3"/>
    </sheetView>
  </sheetViews>
  <sheetFormatPr defaultRowHeight="18.75"/>
  <cols>
    <col min="17" max="17" width="8.875" customWidth="1"/>
  </cols>
  <sheetData>
    <row r="1" spans="1:13" ht="18.75" customHeight="1">
      <c r="A1" s="301" t="s">
        <v>212</v>
      </c>
      <c r="B1" s="301"/>
      <c r="C1" s="301"/>
      <c r="D1" s="301"/>
      <c r="E1" s="301"/>
      <c r="F1" s="301"/>
      <c r="G1" s="301"/>
      <c r="H1" s="301"/>
      <c r="I1" s="301"/>
      <c r="J1" s="301"/>
      <c r="K1" s="301"/>
      <c r="L1" s="301"/>
      <c r="M1" s="301"/>
    </row>
    <row r="2" spans="1:13" ht="18.75" customHeight="1">
      <c r="A2" s="301"/>
      <c r="B2" s="301"/>
      <c r="C2" s="301"/>
      <c r="D2" s="301"/>
      <c r="E2" s="301"/>
      <c r="F2" s="301"/>
      <c r="G2" s="301"/>
      <c r="H2" s="301"/>
      <c r="I2" s="301"/>
      <c r="J2" s="301"/>
      <c r="K2" s="301"/>
      <c r="L2" s="301"/>
      <c r="M2" s="301"/>
    </row>
    <row r="3" spans="1:13" ht="18.75" customHeight="1">
      <c r="A3" s="123"/>
      <c r="B3" s="123"/>
      <c r="C3" s="123"/>
      <c r="D3" s="123"/>
      <c r="E3" s="123"/>
      <c r="F3" s="123"/>
      <c r="G3" s="123"/>
      <c r="H3" s="123"/>
      <c r="I3" s="123"/>
      <c r="J3" s="123"/>
      <c r="K3" s="123"/>
      <c r="L3" s="123"/>
      <c r="M3" s="123"/>
    </row>
    <row r="50" spans="1:31">
      <c r="A50" t="s">
        <v>166</v>
      </c>
    </row>
    <row r="55" spans="1:31">
      <c r="AE55" s="107" t="s">
        <v>90</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activeCell="I5" sqref="I5"/>
    </sheetView>
  </sheetViews>
  <sheetFormatPr defaultRowHeight="18.75"/>
  <cols>
    <col min="2" max="2" width="10.25" bestFit="1" customWidth="1"/>
    <col min="3" max="3" width="55.625" customWidth="1"/>
  </cols>
  <sheetData>
    <row r="1" spans="1:3" ht="26.25" thickBot="1">
      <c r="A1" s="302">
        <v>0.99</v>
      </c>
      <c r="B1" s="303"/>
      <c r="C1" s="165"/>
    </row>
    <row r="2" spans="1:3">
      <c r="A2" s="45" t="s">
        <v>96</v>
      </c>
      <c r="B2" s="45" t="s">
        <v>97</v>
      </c>
      <c r="C2" s="45" t="s">
        <v>98</v>
      </c>
    </row>
    <row r="3" spans="1:3">
      <c r="A3" s="183">
        <v>0.1</v>
      </c>
      <c r="B3" s="113">
        <v>44167</v>
      </c>
      <c r="C3" s="45" t="s">
        <v>176</v>
      </c>
    </row>
    <row r="4" spans="1:3">
      <c r="A4" s="183">
        <v>0.11</v>
      </c>
      <c r="B4" s="113">
        <v>44323</v>
      </c>
      <c r="C4" s="45" t="s">
        <v>197</v>
      </c>
    </row>
    <row r="5" spans="1:3">
      <c r="A5" s="183">
        <v>1</v>
      </c>
      <c r="B5" s="113">
        <v>44371</v>
      </c>
      <c r="C5" s="45" t="s">
        <v>210</v>
      </c>
    </row>
    <row r="6" spans="1:3">
      <c r="A6" s="183">
        <v>0</v>
      </c>
      <c r="B6" s="113">
        <v>44573</v>
      </c>
      <c r="C6" s="45" t="s">
        <v>199</v>
      </c>
    </row>
    <row r="7" spans="1:3">
      <c r="A7" s="183">
        <v>0.01</v>
      </c>
      <c r="B7" s="113">
        <v>44573</v>
      </c>
      <c r="C7" s="45" t="s">
        <v>206</v>
      </c>
    </row>
    <row r="8" spans="1:3">
      <c r="A8" s="183"/>
      <c r="B8" s="45"/>
      <c r="C8" s="45" t="s">
        <v>207</v>
      </c>
    </row>
    <row r="9" spans="1:3">
      <c r="A9" s="183">
        <v>0.2</v>
      </c>
      <c r="B9" s="113">
        <v>44649</v>
      </c>
      <c r="C9" s="45" t="s">
        <v>209</v>
      </c>
    </row>
    <row r="10" spans="1:3">
      <c r="A10" s="183">
        <v>0.99</v>
      </c>
      <c r="B10" s="113">
        <v>44656</v>
      </c>
      <c r="C10" s="45" t="s">
        <v>213</v>
      </c>
    </row>
    <row r="11" spans="1:3">
      <c r="A11" s="183"/>
      <c r="B11" s="113">
        <v>45096</v>
      </c>
      <c r="C11" s="204" t="s">
        <v>220</v>
      </c>
    </row>
    <row r="12" spans="1:3">
      <c r="A12" s="183"/>
      <c r="B12" s="113"/>
      <c r="C12" s="45"/>
    </row>
    <row r="13" spans="1:3">
      <c r="A13" s="183">
        <v>0.99</v>
      </c>
      <c r="B13" s="113">
        <v>45012</v>
      </c>
      <c r="C13" s="45" t="s">
        <v>223</v>
      </c>
    </row>
    <row r="14" spans="1:3">
      <c r="A14" s="183"/>
      <c r="B14" s="113"/>
      <c r="C14" s="45"/>
    </row>
    <row r="15" spans="1:3">
      <c r="A15" s="183"/>
      <c r="B15" s="113"/>
      <c r="C15" s="45"/>
    </row>
    <row r="16" spans="1:3">
      <c r="A16" s="183"/>
      <c r="B16" s="113"/>
      <c r="C16" s="45"/>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教育・保育課　井上</cp:lastModifiedBy>
  <cp:lastPrinted>2024-03-27T07:13:04Z</cp:lastPrinted>
  <dcterms:created xsi:type="dcterms:W3CDTF">2020-01-20T06:10:49Z</dcterms:created>
  <dcterms:modified xsi:type="dcterms:W3CDTF">2024-03-27T07:13:09Z</dcterms:modified>
</cp:coreProperties>
</file>