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7年度\03_入所・給付係\01_教育・保育給付\5_加算認定\1_加算率等認定申請\1_様式・記載例\"/>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⑥加配職員判定" sheetId="10" r:id="rId6"/>
    <sheet name="職員配置" sheetId="7" r:id="rId7"/>
    <sheet name="各加算の関係性" sheetId="11" r:id="rId8"/>
    <sheet name="改修履歴" sheetId="9" r:id="rId9"/>
  </sheets>
  <definedNames>
    <definedName name="_xlnm.Print_Area" localSheetId="0">①基本情報!$A$1:$H$36</definedName>
    <definedName name="_xlnm.Print_Area" localSheetId="1">②児童名簿!$A$1:$G$207</definedName>
    <definedName name="_xlnm.Print_Area" localSheetId="2">③職員名簿!$A$1:$P$86</definedName>
    <definedName name="_xlnm.Print_Area" localSheetId="3">④加算!$A$1:$I$37</definedName>
    <definedName name="_xlnm.Print_Area" localSheetId="4">⑤集計表!$A$1:$P$47</definedName>
    <definedName name="_xlnm.Print_Area" localSheetId="5">⑥加配職員判定!$A$1:$G$37</definedName>
    <definedName name="_xlnm.Print_Area" localSheetId="7">各加算の関係性!$A$1:$AD$59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0" i="5" l="1"/>
  <c r="L19" i="5"/>
  <c r="L4" i="5"/>
  <c r="B15" i="4" l="1"/>
  <c r="B14" i="4"/>
  <c r="L2" i="5"/>
  <c r="D16" i="4" s="1"/>
  <c r="H16" i="5"/>
  <c r="F14" i="4" s="1"/>
  <c r="J47" i="2" l="1"/>
  <c r="J23" i="2"/>
  <c r="J22" i="2"/>
  <c r="J21" i="2"/>
  <c r="J18" i="2"/>
  <c r="J19" i="2"/>
  <c r="J20" i="2"/>
  <c r="J17" i="2"/>
  <c r="K17" i="4" l="1"/>
  <c r="P13" i="3"/>
  <c r="O8" i="3"/>
  <c r="O2" i="3"/>
  <c r="N2" i="3" s="1"/>
  <c r="J39" i="2" l="1"/>
  <c r="S39" i="2"/>
  <c r="Q37" i="2"/>
  <c r="Q13" i="2"/>
  <c r="Q12" i="2"/>
  <c r="J40" i="2" l="1"/>
  <c r="J41" i="2"/>
  <c r="J42" i="2"/>
  <c r="J43" i="2"/>
  <c r="J44" i="2"/>
  <c r="J45" i="2"/>
  <c r="J46" i="2"/>
  <c r="B23" i="4" l="1"/>
  <c r="K19" i="4" l="1"/>
  <c r="Q13" i="3"/>
  <c r="L14" i="4" l="1"/>
  <c r="M14" i="4" s="1"/>
  <c r="L13" i="4"/>
  <c r="M13" i="4" s="1"/>
  <c r="P9" i="3"/>
  <c r="B8" i="1" l="1"/>
  <c r="C16" i="4"/>
  <c r="B9" i="1" l="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32" i="4" l="1"/>
  <c r="B28" i="4"/>
  <c r="M41" i="4" s="1"/>
  <c r="B27" i="4" l="1"/>
  <c r="B29" i="4"/>
  <c r="B30" i="4"/>
  <c r="B31" i="4"/>
  <c r="B33" i="4"/>
  <c r="B34" i="4"/>
  <c r="B35" i="4"/>
  <c r="B36" i="4"/>
  <c r="B26" i="4"/>
  <c r="K18" i="4"/>
  <c r="P12" i="2" l="1"/>
  <c r="B59" i="2" l="1"/>
  <c r="B63" i="2"/>
  <c r="B67" i="2"/>
  <c r="B71" i="2"/>
  <c r="B75" i="2"/>
  <c r="B79" i="2"/>
  <c r="B83"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B45" i="2" s="1"/>
  <c r="R46" i="2"/>
  <c r="B46" i="2" s="1"/>
  <c r="R47" i="2"/>
  <c r="B47" i="2" s="1"/>
  <c r="R48" i="2"/>
  <c r="B48" i="2" s="1"/>
  <c r="R49" i="2"/>
  <c r="B49" i="2" s="1"/>
  <c r="R50" i="2"/>
  <c r="B50" i="2" s="1"/>
  <c r="R51" i="2"/>
  <c r="B51" i="2" s="1"/>
  <c r="R52" i="2"/>
  <c r="B52" i="2" s="1"/>
  <c r="R53" i="2"/>
  <c r="B53" i="2" s="1"/>
  <c r="R54" i="2"/>
  <c r="B54" i="2" s="1"/>
  <c r="R55" i="2"/>
  <c r="B55" i="2" s="1"/>
  <c r="R56" i="2"/>
  <c r="B56" i="2" s="1"/>
  <c r="R57" i="2"/>
  <c r="B57" i="2" s="1"/>
  <c r="R58" i="2"/>
  <c r="B58" i="2" s="1"/>
  <c r="R59" i="2"/>
  <c r="R60" i="2"/>
  <c r="B60" i="2" s="1"/>
  <c r="R61" i="2"/>
  <c r="B61" i="2" s="1"/>
  <c r="R62" i="2"/>
  <c r="B62" i="2" s="1"/>
  <c r="R63" i="2"/>
  <c r="R64" i="2"/>
  <c r="B64" i="2" s="1"/>
  <c r="R65" i="2"/>
  <c r="B65" i="2" s="1"/>
  <c r="R66" i="2"/>
  <c r="B66" i="2" s="1"/>
  <c r="R67" i="2"/>
  <c r="R68" i="2"/>
  <c r="B68" i="2" s="1"/>
  <c r="R69" i="2"/>
  <c r="B69" i="2" s="1"/>
  <c r="R70" i="2"/>
  <c r="B70" i="2" s="1"/>
  <c r="R71" i="2"/>
  <c r="R72" i="2"/>
  <c r="B72" i="2" s="1"/>
  <c r="R73" i="2"/>
  <c r="B73" i="2" s="1"/>
  <c r="R74" i="2"/>
  <c r="B74" i="2" s="1"/>
  <c r="R75" i="2"/>
  <c r="R76" i="2"/>
  <c r="B76" i="2" s="1"/>
  <c r="R77" i="2"/>
  <c r="B77" i="2" s="1"/>
  <c r="R78" i="2"/>
  <c r="B78" i="2" s="1"/>
  <c r="R79" i="2"/>
  <c r="R80" i="2"/>
  <c r="B80" i="2" s="1"/>
  <c r="R81" i="2"/>
  <c r="B81" i="2" s="1"/>
  <c r="R82" i="2"/>
  <c r="B82" i="2" s="1"/>
  <c r="R83" i="2"/>
  <c r="R84" i="2"/>
  <c r="B84" i="2" s="1"/>
  <c r="R85" i="2"/>
  <c r="B85" i="2" s="1"/>
  <c r="R86" i="2"/>
  <c r="B86" i="2" s="1"/>
  <c r="R12" i="2"/>
  <c r="Q86" i="2"/>
  <c r="Q14" i="2"/>
  <c r="Q15" i="2"/>
  <c r="Q16" i="2"/>
  <c r="Q17" i="2"/>
  <c r="Q18" i="2"/>
  <c r="Q19" i="2"/>
  <c r="Q20" i="2"/>
  <c r="Q21" i="2"/>
  <c r="Q22" i="2"/>
  <c r="Q23" i="2"/>
  <c r="Q24" i="2"/>
  <c r="Q25" i="2"/>
  <c r="Q26" i="2"/>
  <c r="Q27" i="2"/>
  <c r="Q28" i="2"/>
  <c r="Q29" i="2"/>
  <c r="Q30" i="2"/>
  <c r="Q31" i="2"/>
  <c r="Q32" i="2"/>
  <c r="Q33" i="2"/>
  <c r="Q34" i="2"/>
  <c r="Q35" i="2"/>
  <c r="Q36"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B44" i="2" l="1"/>
  <c r="B43" i="2"/>
  <c r="B42" i="2"/>
  <c r="B41" i="2"/>
  <c r="B40" i="2"/>
  <c r="B3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P14"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86" i="2"/>
  <c r="N10" i="1" l="1"/>
  <c r="F18" i="10" l="1"/>
  <c r="B4" i="10"/>
  <c r="J24" i="2" l="1"/>
  <c r="J25" i="2"/>
  <c r="J26" i="2"/>
  <c r="M1" i="7" l="1"/>
  <c r="O2" i="4"/>
  <c r="I2" i="3"/>
  <c r="P3" i="2"/>
  <c r="G2" i="1"/>
  <c r="H2" i="5"/>
  <c r="H36" i="5" l="1"/>
  <c r="P8" i="3" l="1"/>
  <c r="L2" i="3" l="1"/>
  <c r="K2" i="3" s="1"/>
  <c r="C10" i="3" s="1"/>
  <c r="N4" i="4" l="1"/>
  <c r="B13" i="4"/>
  <c r="B12" i="4"/>
  <c r="O10" i="3" l="1"/>
  <c r="N10" i="3" s="1"/>
  <c r="L10" i="3" s="1"/>
  <c r="K10" i="3" s="1"/>
  <c r="H31" i="3" s="1"/>
  <c r="F22" i="4"/>
  <c r="F44" i="4" l="1"/>
  <c r="J32" i="2" l="1"/>
  <c r="J31" i="2"/>
  <c r="J30" i="2"/>
  <c r="J29" i="2"/>
  <c r="J28" i="2"/>
  <c r="F12" i="4" l="1"/>
  <c r="F11" i="4"/>
  <c r="F9" i="4"/>
  <c r="B11" i="4"/>
  <c r="B10" i="4"/>
  <c r="M25" i="4" s="1"/>
  <c r="B9" i="4"/>
  <c r="F16" i="10" s="1"/>
  <c r="F32" i="4"/>
  <c r="F45" i="4"/>
  <c r="F43" i="4"/>
  <c r="F42" i="4"/>
  <c r="F41" i="4"/>
  <c r="F40" i="4"/>
  <c r="F39" i="4"/>
  <c r="F38" i="4"/>
  <c r="F37" i="4"/>
  <c r="F36" i="4"/>
  <c r="F35" i="4"/>
  <c r="F34" i="4"/>
  <c r="F33" i="4"/>
  <c r="F30" i="4"/>
  <c r="F29" i="4"/>
  <c r="F26" i="4"/>
  <c r="F25" i="4"/>
  <c r="F24" i="4"/>
  <c r="F23" i="4"/>
  <c r="F21" i="4"/>
  <c r="F20" i="4"/>
  <c r="B20" i="4"/>
  <c r="B25" i="4"/>
  <c r="B24" i="4"/>
  <c r="B22" i="4"/>
  <c r="M36" i="4" s="1"/>
  <c r="B21" i="4"/>
  <c r="L11" i="1"/>
  <c r="P11" i="1" s="1"/>
  <c r="J86" i="2"/>
  <c r="J82" i="2"/>
  <c r="J83" i="2"/>
  <c r="J84" i="2"/>
  <c r="J85" i="2"/>
  <c r="J71" i="2"/>
  <c r="J72" i="2"/>
  <c r="J73" i="2"/>
  <c r="J74" i="2"/>
  <c r="J75" i="2"/>
  <c r="J76" i="2"/>
  <c r="J77" i="2"/>
  <c r="J78" i="2"/>
  <c r="J79" i="2"/>
  <c r="J80" i="2"/>
  <c r="J81" i="2"/>
  <c r="J70" i="2"/>
  <c r="J69" i="2"/>
  <c r="J68" i="2"/>
  <c r="J67" i="2"/>
  <c r="J66" i="2"/>
  <c r="J65" i="2"/>
  <c r="J64" i="2"/>
  <c r="J63" i="2"/>
  <c r="J62" i="2"/>
  <c r="J61" i="2"/>
  <c r="J60" i="2"/>
  <c r="AA9" i="2"/>
  <c r="M2" i="5"/>
  <c r="S15" i="2" l="1"/>
  <c r="S16" i="2"/>
  <c r="J59" i="2"/>
  <c r="P15" i="2"/>
  <c r="P13" i="2"/>
  <c r="J34" i="2"/>
  <c r="N9" i="1"/>
  <c r="L12" i="1"/>
  <c r="J57" i="2"/>
  <c r="J56" i="2"/>
  <c r="J52" i="2"/>
  <c r="J48" i="2"/>
  <c r="J58" i="2"/>
  <c r="J50" i="2"/>
  <c r="J53" i="2"/>
  <c r="J55" i="2"/>
  <c r="J51" i="2"/>
  <c r="J54" i="2"/>
  <c r="J49" i="2"/>
  <c r="O10" i="1"/>
  <c r="O9" i="1"/>
  <c r="J12" i="1"/>
  <c r="L9" i="1"/>
  <c r="M10" i="1"/>
  <c r="K12" i="1"/>
  <c r="M9" i="1"/>
  <c r="J16" i="2"/>
  <c r="J38" i="2"/>
  <c r="J13" i="2"/>
  <c r="I14" i="2"/>
  <c r="J14" i="2" s="1"/>
  <c r="J12" i="2"/>
  <c r="J15" i="2"/>
  <c r="J37" i="2"/>
  <c r="B4" i="4"/>
  <c r="AB41" i="2" l="1"/>
  <c r="AC42" i="2"/>
  <c r="AD42" i="2" s="1"/>
  <c r="AB42" i="2"/>
  <c r="AC41" i="2"/>
  <c r="AD41" i="2" s="1"/>
  <c r="AC39" i="2"/>
  <c r="AD39" i="2" s="1"/>
  <c r="AC38" i="2"/>
  <c r="AD38" i="2" s="1"/>
  <c r="AE39" i="2" s="1"/>
  <c r="AB38" i="2"/>
  <c r="K8" i="4" s="1"/>
  <c r="AB39" i="2"/>
  <c r="P10" i="1"/>
  <c r="J13" i="1"/>
  <c r="P12" i="1"/>
  <c r="N13" i="1"/>
  <c r="O13" i="1"/>
  <c r="P9" i="1"/>
  <c r="L13" i="1"/>
  <c r="K13" i="1"/>
  <c r="M13" i="1"/>
  <c r="C10" i="10" s="1"/>
  <c r="D10" i="10" s="1"/>
  <c r="A3" i="3"/>
  <c r="A6" i="3"/>
  <c r="AE42" i="2" l="1"/>
  <c r="J6" i="2"/>
  <c r="F14" i="10"/>
  <c r="L12" i="4"/>
  <c r="M12" i="4" s="1"/>
  <c r="C8" i="10"/>
  <c r="D8" i="10" s="1"/>
  <c r="C9" i="10"/>
  <c r="D9" i="10" s="1"/>
  <c r="C11" i="10"/>
  <c r="D11" i="10" s="1"/>
  <c r="D7" i="2"/>
  <c r="C7" i="2"/>
  <c r="C6" i="2"/>
  <c r="D6" i="2"/>
  <c r="L16" i="4"/>
  <c r="M16" i="4" s="1"/>
  <c r="O8" i="4"/>
  <c r="P13" i="1"/>
  <c r="L15" i="4"/>
  <c r="M15" i="4" s="1"/>
  <c r="H15" i="5"/>
  <c r="H12" i="5"/>
  <c r="L5" i="5" l="1"/>
  <c r="O11" i="3" s="1"/>
  <c r="N11" i="3" s="1"/>
  <c r="L11" i="3" s="1"/>
  <c r="K11" i="3" s="1"/>
  <c r="H30" i="3" s="1"/>
  <c r="F13" i="4"/>
  <c r="L3" i="5"/>
  <c r="H16" i="4" s="1"/>
  <c r="G16" i="4" s="1"/>
  <c r="F10" i="4"/>
  <c r="D12" i="10"/>
  <c r="F12" i="10" s="1"/>
  <c r="F15" i="10" s="1"/>
  <c r="J7" i="2"/>
  <c r="M17" i="4"/>
  <c r="M19" i="4" s="1"/>
  <c r="F4" i="1"/>
  <c r="N4" i="2"/>
  <c r="A4" i="2"/>
  <c r="A4" i="1"/>
  <c r="M3" i="5" l="1"/>
  <c r="B14" i="2" s="1"/>
  <c r="O9" i="4"/>
  <c r="G29" i="5"/>
  <c r="F29" i="5"/>
  <c r="E29" i="5"/>
  <c r="D29" i="5"/>
  <c r="C29" i="5"/>
  <c r="B29" i="5"/>
  <c r="H28" i="5"/>
  <c r="H27" i="5"/>
  <c r="H26" i="5"/>
  <c r="O3" i="3" l="1"/>
  <c r="M19" i="3"/>
  <c r="L19" i="3" s="1"/>
  <c r="M39" i="4" s="1"/>
  <c r="B13" i="2"/>
  <c r="O19" i="4"/>
  <c r="K27" i="4"/>
  <c r="M28" i="4"/>
  <c r="B16" i="2"/>
  <c r="Q9" i="1"/>
  <c r="Q10" i="1"/>
  <c r="H29" i="5"/>
  <c r="O9" i="3" s="1"/>
  <c r="N9" i="3" s="1"/>
  <c r="L9" i="3" s="1"/>
  <c r="K9" i="3" s="1"/>
  <c r="H22" i="3" s="1"/>
  <c r="O13" i="3" l="1"/>
  <c r="P3" i="3"/>
  <c r="O12" i="3"/>
  <c r="O4" i="3"/>
  <c r="M29" i="4"/>
  <c r="F17" i="10"/>
  <c r="F20" i="10" s="1"/>
  <c r="M21" i="4"/>
  <c r="O5" i="3"/>
  <c r="O25" i="4"/>
  <c r="O28" i="4" s="1"/>
  <c r="O31" i="4" s="1"/>
  <c r="L40" i="4"/>
  <c r="K38" i="4"/>
  <c r="O36" i="4" l="1"/>
  <c r="O6" i="3"/>
  <c r="M34" i="4"/>
  <c r="L14" i="3" s="1"/>
  <c r="K14" i="3" s="1"/>
  <c r="O7" i="3"/>
  <c r="Q36" i="4" l="1"/>
  <c r="Q37" i="4" s="1"/>
  <c r="Q38" i="4" s="1"/>
  <c r="Q3" i="3"/>
  <c r="R13" i="3"/>
  <c r="N13" i="3" s="1"/>
  <c r="L13" i="3" s="1"/>
  <c r="K13" i="3" s="1"/>
  <c r="C12" i="3" s="1"/>
  <c r="Q12" i="3"/>
  <c r="N12" i="3" s="1"/>
  <c r="L12" i="3" s="1"/>
  <c r="K12" i="3" s="1"/>
  <c r="C15" i="3" s="1"/>
  <c r="Q7" i="3"/>
  <c r="N7" i="3" s="1"/>
  <c r="L7" i="3" s="1"/>
  <c r="K7" i="3" s="1"/>
  <c r="D17" i="3" s="1"/>
  <c r="Q8" i="3"/>
  <c r="N8" i="3" s="1"/>
  <c r="L8" i="3" s="1"/>
  <c r="K8" i="3" s="1"/>
  <c r="I21" i="3" s="1"/>
  <c r="Q6" i="3"/>
  <c r="N6" i="3" s="1"/>
  <c r="L6" i="3" s="1"/>
  <c r="K6" i="3" s="1"/>
  <c r="C16" i="3" s="1"/>
  <c r="Q5" i="3"/>
  <c r="N5" i="3" s="1"/>
  <c r="L5" i="3" s="1"/>
  <c r="K5" i="3" s="1"/>
  <c r="C14" i="3" s="1"/>
  <c r="Q4" i="3"/>
  <c r="N4" i="3" s="1"/>
  <c r="O38" i="4" l="1"/>
  <c r="L4" i="3"/>
  <c r="K4" i="3" s="1"/>
  <c r="C13" i="3" s="1"/>
  <c r="N3" i="3"/>
  <c r="L3" i="3" s="1"/>
  <c r="M42" i="4"/>
  <c r="N40" i="4"/>
  <c r="K3" i="3" l="1"/>
  <c r="C11" i="3" s="1"/>
</calcChain>
</file>

<file path=xl/comments1.xml><?xml version="1.0" encoding="utf-8"?>
<comments xmlns="http://schemas.openxmlformats.org/spreadsheetml/2006/main">
  <authors>
    <author>三木市役所</author>
    <author>三木市</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特定教育・保育等に要する費用の額の算定に関する基準等の実施上の留意事項について（R7.4.11改定）
</t>
        </r>
        <r>
          <rPr>
            <b/>
            <sz val="8"/>
            <color indexed="81"/>
            <rFont val="MS P ゴシック"/>
            <family val="3"/>
            <charset val="128"/>
          </rPr>
          <t xml:space="preserve">
≪認定こども園　１号≫
</t>
        </r>
        <r>
          <rPr>
            <sz val="8"/>
            <color indexed="81"/>
            <rFont val="MS P ゴシック"/>
            <family val="3"/>
            <charset val="128"/>
          </rPr>
          <t xml:space="preserve">１．主幹保育教諭等の専任化により子育て支援の取組みを実施していない場合（⑱）
（１）調整の適用を受ける施設の要件
以下の要件を満たさない施設に適用する。
</t>
        </r>
        <r>
          <rPr>
            <b/>
            <sz val="8"/>
            <color indexed="81"/>
            <rFont val="MS P ゴシック"/>
            <family val="3"/>
            <charset val="128"/>
          </rPr>
          <t xml:space="preserve">（要件）
</t>
        </r>
        <r>
          <rPr>
            <sz val="8"/>
            <color indexed="81"/>
            <rFont val="MS P ゴシック"/>
            <family val="3"/>
            <charset val="128"/>
          </rPr>
          <t>Ⅱの１．（２）（ア）ⅰ（注４）の主幹保育教諭等１人を配置し、その主幹保育教諭等を教育・保育計画の立案や地域の子育て支援活動等の業務に専任させるためのⅡの１．（２）（ア）ⅱｃの代替保育教諭等を配置し、以下の事業等を複数実施すること。
また、保護者や地域住民からの教育・育児相談、地域の子育て支援活動等に積極的に取り組むこと。
認定こども園の基本分単価は、主幹保育教諭等がクラス担当等から離れて、指導計画の立案や子育て活動等に専任できるよう、代替保育教諭等の配置のための費用を算定していることから、主幹保育教諭等がクラス担当や学級担任を兼務することは適切ではなく、代理で行う場合であっても、１月を超えて兼務が継続している場合は減算調整を行うこと。
ⅰ 幼稚園型一時預かり事業（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
ⅱ 一般型一時預かり事業（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及びこれらと同等の要件を満たして実施しているもの。ただし、当該要件を満たした月以降の各月においては、同一年度に限り、事業を実施する体制が取られていることをもって当該要件を満たしているものと取り扱う。）
ⅲ 満３歳児に対する教育・保育の提供（月の初日において満３歳児が１人以上利用している月から年度を通じて当該要件を満たしているものとする。）</t>
        </r>
        <r>
          <rPr>
            <b/>
            <sz val="8"/>
            <color indexed="81"/>
            <rFont val="MS P ゴシック"/>
            <family val="3"/>
            <charset val="128"/>
          </rPr>
          <t xml:space="preserve">
</t>
        </r>
        <r>
          <rPr>
            <sz val="8"/>
            <color indexed="81"/>
            <rFont val="MS P ゴシック"/>
            <family val="3"/>
            <charset val="128"/>
          </rPr>
          <t>ⅳ 障害児（軽度障害児を含む。）（注）に対する教育・保育の提供（月の初日において障害児が１人以上利用している月から年度を通じて当該要件を満たしているものとする。）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ⅴ 継続的な小学校との連携・接続に係る取組で以下の全ての要件を満たすもの（年度当初から当該取組を開始する場合は５月において計画により下記の要件を満たしていることをもって４月から年度を通じて当該要件を満たしているものと取り扱う。）
(ｱ) 小学校との連携・接続に関する業務分掌を明確にしていること。
(ｲ) 授業・行事、研究会・研修等の小学校との子ども及び教職員の交流活動を年度を通じて複数回実施していること。
(ｳ) 小学校と協働して、５歳児から小学校１年生の２年間（２年以上を含む。）のカリキュラムを編成・実施していること（小学校との継続的な協議会の開催等により具体的な編成に着手していると認められる場合を含む。）。
ⅵ 都道府県及び市町村等の教育委員会又は幼児教育センターなど幼児教育施設に対して幼児教育の内容・指導方法等の指導助言等を行う部局、あるいは幼児教育アドバイザーなど地方自治体に所属して幼児教育の専門的な知見や豊富な実践経験に基づき幼児教育に関する指導助言等を行う者と連携して、園内研修を企画・実施していること。
ⅶ 災害等により、教育・保育が提供できない場合に、教育・保育を必要とするエッセンシャルワーカーである保護者に対する連絡、被災状況の把握、勤務状況に応じたこどもの預かりに関する相談及び代替保育先や預かり先の確保に向けた行政や関係機関との連携等を行うために必要となる緊急時の対応の具体的内容及び手順、職員の役割分担、避難訓練計画等に関するマニュアル等の整備並びに原則月１回の研修・訓練の実施等を行う取組を実施していること。</t>
        </r>
        <r>
          <rPr>
            <b/>
            <sz val="8"/>
            <color indexed="81"/>
            <rFont val="MS P ゴシック"/>
            <family val="3"/>
            <charset val="128"/>
          </rPr>
          <t xml:space="preserve">
</t>
        </r>
        <r>
          <rPr>
            <sz val="8"/>
            <color indexed="81"/>
            <rFont val="MS P ゴシック"/>
            <family val="3"/>
            <charset val="128"/>
          </rPr>
          <t xml:space="preserve">
</t>
        </r>
        <r>
          <rPr>
            <b/>
            <sz val="8"/>
            <color indexed="81"/>
            <rFont val="MS P ゴシック"/>
            <family val="3"/>
            <charset val="128"/>
          </rPr>
          <t xml:space="preserve">≪認定こども園　２・３号≫
</t>
        </r>
        <r>
          <rPr>
            <sz val="8"/>
            <color indexed="81"/>
            <rFont val="MS P ゴシック"/>
            <family val="3"/>
            <charset val="128"/>
          </rPr>
          <t xml:space="preserve">４．主幹保育教諭等の専任化により子育て支援の取組みを実施していない場合（㉑）
（１）調整の適用を受ける施設の要件
以下の要件を満たさない施設に適用する。
</t>
        </r>
        <r>
          <rPr>
            <b/>
            <sz val="8"/>
            <color indexed="81"/>
            <rFont val="MS P ゴシック"/>
            <family val="3"/>
            <charset val="128"/>
          </rPr>
          <t>（要件）</t>
        </r>
        <r>
          <rPr>
            <sz val="8"/>
            <color indexed="81"/>
            <rFont val="MS P ゴシック"/>
            <family val="3"/>
            <charset val="128"/>
          </rPr>
          <t xml:space="preserve">
別紙３のⅡの１．（２）（ア）ⅰ（注４）の主幹保育教諭等１人を配置し、その主幹保育教諭等を教育・保育計画の立案等の業務に専任させるための別紙３のⅡの１．（２）（ア）ⅱｃの代替保育教諭等を配置し、以下の事業等を複数実施すること。
また、保護者や地域住民からの教育・育児相談、地域の子育て支援活動等に積極的に取り組むこと。
認定こども園の基本分単価は、主幹保育教諭等がクラス担当等から離れて、指導計画の立案や子育て活動等に専任できるよう、代替保育教諭等の配置のための費用を算定していることから、主幹保育教諭等がクラス担当や学級担任を兼務することは適切ではなく、代理で行う場合であっても、１月を超えて兼務が継続している場合は減算調整を行うこと。
ⅰ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ⅱ 一時預かり事業（一般型）（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ⅲ 病児保育事業（子ども・子育て支援交付金に係る要件に適合するもの及びこれと同等の要件を満たして自主事業として実施しているもの。）
ⅳ 乳児が３人以上利用している施設（月の初日において乳児が３人以上利用している月から年度を通じて当該要件を満たしているものとする。）
また、①乳児の利用定員が３人以上あり、かつ、②乳児保育を実施する職員体制を維持し、③地域の親子が交流する場の提供や子育てに関する相談会を月２回以上開催している場合、前年度に要件を満たしていた月（令和５年度に特例の適用があった月を含む）については、乳児３人以上の利用の要件を満たしたものと取り扱う。
ⅴ 障害児（軽度障害児を含む。）（注）が１人以上利用している施設（月の初日において障害児が１人以上利用している月から年度を通じて当該要件を満たしているものとする。）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ⅵ 災害等により、教育・保育が提供できない場合に、教育・保育を必要とするエッセンシャルワーカーである保護者に対する連絡、被災状況の把握、勤務状況に応じたこどもの預かりに関する相談及び代替保育先や預かり先の確保に向けた行政や関係機関との連携等を行うために必要となる緊急時の対応の具体的内容及び手順、職員の役割分担、避難訓練計画等に関するマニュアル等の整備並びに原則月１回の研修・訓練の実施等を行う取組を実施していること。</t>
        </r>
      </text>
    </comment>
    <comment ref="E8" authorId="1" shapeId="0">
      <text>
        <r>
          <rPr>
            <sz val="8"/>
            <color indexed="81"/>
            <rFont val="MS P ゴシック"/>
            <family val="3"/>
            <charset val="128"/>
          </rPr>
          <t xml:space="preserve">小学校接続加算Ⅰ～Ⅲが取得できる場合
</t>
        </r>
      </text>
    </comment>
    <comment ref="E18" authorId="1" shapeId="0">
      <text>
        <r>
          <rPr>
            <sz val="8"/>
            <color indexed="81"/>
            <rFont val="MS P ゴシック"/>
            <family val="3"/>
            <charset val="128"/>
          </rPr>
          <t xml:space="preserve">【参考】
特定教育・保育等に要する費用の額の算定に関する基準等の実施上の留意事項について（R7.4.11改定）
</t>
        </r>
        <r>
          <rPr>
            <sz val="9"/>
            <color indexed="81"/>
            <rFont val="MS P ゴシック"/>
            <family val="3"/>
            <charset val="128"/>
          </rPr>
          <t xml:space="preserve">
</t>
        </r>
        <r>
          <rPr>
            <sz val="8"/>
            <color indexed="81"/>
            <rFont val="MS P ゴシック"/>
            <family val="3"/>
            <charset val="128"/>
          </rPr>
          <t>４．１歳児配置改善加算（➉）
（１）加算の要件
Ⅱの１．（２）（ア）ⅰの年齢別配置基準のうち、１歳児に係る保育士配置基準を１歳児５人につき１人により実施し、以下の要件を満たす施設に加算する。なお、１歳児の実人数が５人を下回る場合であっても、以下の算式による配置基準上保育士数を満たす場合は、加算が適用される。
＜要件＞
ⅰ 処遇改善等加算（⑦、㉔）の区分１、区分２及び区分３のいずれも取得していること。
ⅱ 業務においてＩＣＴの活用を進めており、以下の①及び②～④のいずれか１つの機能以上の機器を導入し、業務に活用していること。
① 園児の登園及び降園に管理に関する機能
② 保育に係る計画・記録に関する機能（注）
（注）職員間で情報の共有や更新を行うことができる機能を有すること</t>
        </r>
        <r>
          <rPr>
            <sz val="9"/>
            <color indexed="81"/>
            <rFont val="MS P ゴシック"/>
            <family val="3"/>
            <charset val="128"/>
          </rPr>
          <t xml:space="preserve">
</t>
        </r>
        <r>
          <rPr>
            <sz val="8"/>
            <color indexed="81"/>
            <rFont val="MS P ゴシック"/>
            <family val="3"/>
            <charset val="128"/>
          </rPr>
          <t>➂ 保護者との連絡に関する機能（注）
（注）ＩＣＴを介さない個別メール・アプリにより保護者との連絡を行っている場合を除く
④ キャッシュレス決済に関する機能
ⅲ 「施設型給付費等に係る処遇改善等加算について」（令和７年４月11日こ成保２９６、７文科初第２５０号こども家庭庁成育局長、文部科学省初等中等教育局長連名通知）第４加算額の算定、２ 区分１及び区分２の加算率の算定に示す方法により算定される「職員１人当たりの平均経験年数」が10年以上であること。
※ 原則として加算年度の４月１日時点の「職員１人当たりの平均経験年数」で判断することとするが、年度途中において職員の採用・異動等により本要件を満たす場合には、本要件を満たすこととなった日の属する月の翌月から加算を適用すること</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List>
</comments>
</file>

<file path=xl/comments3.xml><?xml version="1.0" encoding="utf-8"?>
<comments xmlns="http://schemas.openxmlformats.org/spreadsheetml/2006/main">
  <authors>
    <author>三木市役所</author>
    <author>三木市</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10"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B12" authorId="0" shapeId="0">
      <text>
        <r>
          <rPr>
            <sz val="9"/>
            <color indexed="81"/>
            <rFont val="MS P ゴシック"/>
            <family val="3"/>
            <charset val="128"/>
          </rPr>
          <t>園長は必ず設置しなければならない</t>
        </r>
      </text>
    </comment>
    <comment ref="B13" authorId="0" shapeId="0">
      <text>
        <r>
          <rPr>
            <sz val="9"/>
            <color indexed="81"/>
            <rFont val="MS P ゴシック"/>
            <family val="3"/>
            <charset val="128"/>
          </rPr>
          <t>常勤または非常勤（80H以上）であること</t>
        </r>
      </text>
    </comment>
    <comment ref="I13" authorId="1" shapeId="0">
      <text>
        <r>
          <rPr>
            <b/>
            <sz val="9"/>
            <color indexed="81"/>
            <rFont val="MS P ゴシック"/>
            <family val="3"/>
            <charset val="128"/>
          </rPr>
          <t xml:space="preserve">80時間以上
</t>
        </r>
      </text>
    </comment>
    <comment ref="B14" authorId="0" shapeId="0">
      <text>
        <r>
          <rPr>
            <sz val="9"/>
            <color indexed="81"/>
            <rFont val="MS P ゴシック"/>
            <family val="3"/>
            <charset val="128"/>
          </rPr>
          <t>常勤でなければならない</t>
        </r>
      </text>
    </comment>
    <comment ref="B15" authorId="0" shapeId="0">
      <text>
        <r>
          <rPr>
            <sz val="9"/>
            <color indexed="81"/>
            <rFont val="MS P ゴシック"/>
            <family val="3"/>
            <charset val="128"/>
          </rPr>
          <t>常勤または非常勤、無資格可</t>
        </r>
      </text>
    </comment>
    <comment ref="B16" authorId="0" shapeId="0">
      <text>
        <r>
          <rPr>
            <sz val="9"/>
            <color indexed="81"/>
            <rFont val="MS P ゴシック"/>
            <family val="3"/>
            <charset val="128"/>
          </rPr>
          <t>常勤または非常勤、幼稚園教諭免許必須</t>
        </r>
      </text>
    </comment>
    <comment ref="B17" authorId="0" shapeId="0">
      <text>
        <r>
          <rPr>
            <sz val="9"/>
            <color indexed="81"/>
            <rFont val="MS P ゴシック"/>
            <family val="3"/>
            <charset val="128"/>
          </rPr>
          <t>特定教育・保育等に要する費用の額の算定に関する基準等の実施上の留意事項について（R7.4.11改正）
１．基本分単価（⑤）
（２）基本分単価に含まれる職員構成
ⅲ 事務職員及び非常勤事務職員
（注）施設長等の職員が兼務する場合又は業務委託する場合は、配置は不要であること。
（注）非常勤事務職員については、１人分の費用（教育標準時間認定子どもに係る利用定員が91人以上の施設に限る。）及び週２日分の費用を算定。</t>
        </r>
      </text>
    </comment>
    <comment ref="C17" authorId="0" shapeId="0">
      <text>
        <r>
          <rPr>
            <b/>
            <sz val="9"/>
            <color indexed="81"/>
            <rFont val="MS P ゴシック"/>
            <family val="3"/>
            <charset val="128"/>
          </rPr>
          <t>園長兼務の場合は「園長兼務」を選択してください</t>
        </r>
      </text>
    </comment>
    <comment ref="D17" authorId="0" shapeId="0">
      <text>
        <r>
          <rPr>
            <b/>
            <sz val="9"/>
            <color indexed="81"/>
            <rFont val="MS P ゴシック"/>
            <family val="3"/>
            <charset val="128"/>
          </rPr>
          <t>園長兼務の場合は「園長兼務」と入力しください</t>
        </r>
      </text>
    </comment>
    <comment ref="I17" authorId="0" shapeId="0">
      <text>
        <r>
          <rPr>
            <b/>
            <sz val="9"/>
            <color indexed="81"/>
            <rFont val="MS P ゴシック"/>
            <family val="3"/>
            <charset val="128"/>
          </rPr>
          <t>園長兼務の場合は空欄にしてください</t>
        </r>
      </text>
    </comment>
    <comment ref="C18" authorId="0" shapeId="0">
      <text>
        <r>
          <rPr>
            <sz val="9"/>
            <color indexed="81"/>
            <rFont val="MS P ゴシック"/>
            <family val="3"/>
            <charset val="128"/>
          </rPr>
          <t>常勤または非常勤</t>
        </r>
      </text>
    </comment>
    <comment ref="D19" authorId="1" shapeId="0">
      <text>
        <r>
          <rPr>
            <b/>
            <sz val="9"/>
            <color indexed="81"/>
            <rFont val="MS P ゴシック"/>
            <family val="3"/>
            <charset val="128"/>
          </rPr>
          <t>外部委託の場合は「外部委託」と入力してください</t>
        </r>
      </text>
    </comment>
    <comment ref="D20" authorId="1" shapeId="0">
      <text>
        <r>
          <rPr>
            <b/>
            <sz val="9"/>
            <color indexed="81"/>
            <rFont val="MS P ゴシック"/>
            <family val="3"/>
            <charset val="128"/>
          </rPr>
          <t>外部委託の場合は「外部委託」と入力してください</t>
        </r>
      </text>
    </comment>
    <comment ref="D21" authorId="1" shapeId="0">
      <text>
        <r>
          <rPr>
            <b/>
            <sz val="9"/>
            <color indexed="81"/>
            <rFont val="MS P ゴシック"/>
            <family val="3"/>
            <charset val="128"/>
          </rPr>
          <t>外部委託の場合は「外部委託」と入力してください</t>
        </r>
      </text>
    </comment>
    <comment ref="D22" authorId="1" shapeId="0">
      <text>
        <r>
          <rPr>
            <b/>
            <sz val="9"/>
            <color indexed="81"/>
            <rFont val="MS P ゴシック"/>
            <family val="3"/>
            <charset val="128"/>
          </rPr>
          <t>外部委託の場合は「外部委託」と入力してください</t>
        </r>
      </text>
    </comment>
    <comment ref="C34" authorId="0" shapeId="0">
      <text>
        <r>
          <rPr>
            <b/>
            <sz val="9"/>
            <color indexed="81"/>
            <rFont val="MS P ゴシック"/>
            <family val="3"/>
            <charset val="128"/>
          </rPr>
          <t>幼保連携型認定こども園の学級の編制、職員、設備及び運営に関する基準の運用上の取扱いについて（通知）（R7.3.28改正）
２．職員配置について（基準省令第５条及び附則第８条関係）
（３）看護師等の特例について
幼保連携型認定こども園においては、基準省令附則第８条の規定のとおり、当分の間、１人に限って、当該園に勤務する保健師、看護師又は准看護師（以下「看護師等」という。）をもって基準省令第５条第３項の表備考第１号に定める者に代えることができる（ただし、補助者として従事する場合を除き、教育課程に基づく教育に従事してはならない）が、満１歳未満の園児の数が４人未満である場合は、子育てに関する知識と経験を有する看護師等を配置し、かつ、当該看護師等が保育を行うに当たって基準省令第５条第３項の表備考第１号に定める者による支援を受けることができる体制を確保しなければならないこととされている。
このため、上記場合において、保育所、認定こども園及び地域型保育事業所等（以下「保育所等」という。）での勤務経験が概ね３年に満たない看護師等が保育を行う場合、「子育て支援員研修事業の実施について」（平成２７年５月２１日付け雇児発０５２１第１８号厚生労働省雇用均等・児童家庭局長通知）で定める子育て支援員研修のうち、地域保育コースその他の都道府県知事が認める研修の修了（以下「子育て支援員研修等」という。）を必須とし、また、基準省令第５条第３項の表備考第１号に定める者と合同の組・グループを編成し、原則として同一の乳児室など同一空間内で保育を行わなければならないこと。</t>
        </r>
      </text>
    </comment>
    <comment ref="D37" authorId="0" shapeId="0">
      <text>
        <r>
          <rPr>
            <sz val="9"/>
            <color indexed="81"/>
            <rFont val="MS P ゴシック"/>
            <family val="3"/>
            <charset val="128"/>
          </rPr>
          <t>特定教育・保育等に要する費用の額の算定に関する基準等の実施上の留意事項について(R7.4.11改定)
１．基本分単価（⑤）
（２）基本分単価に含まれる職員構成
ⅰ 年齢別配置基準（※）
（注４）基本分単価の費用の算定上、ⅰ年齢別配置基準の保育教諭等には主幹保育教諭等２人（教育標準時間認定子どもに係る分及び保育認定子どもに係る分でそれぞれ１人ずつ）を配置するための費用が含まれている。
主幹保育教諭等が２人又は１人の配置がなされていない場合は、「主幹保育教諭等の専任化により子育て支援の取組みを実施していない場合」の減額調整を行う必要があること。
また、主幹保育教諭等が１人しか配置されていない場合は、教育標準時間認定又は保育認定のいずれか一方を減算調整すること。
別紙４（認定こども園（保育認定２・３号））における「教育標準時間認定子どもの利用定員を設定しない場合（⑱）」の調整を受ける施設の場合については、主幹保育教諭等及び代替保育教諭は保育認定に係るそれぞれ1人ずつの配置があれば足りること。
また、第４（１）に定める基本分単価において充足すべき職員と各加算に係る取扱いにおいては、主幹保育教諭等２人又は１人が配置されていない場合も、必要となる基本分単価において充足すべき年齢別配置基準職員数及び年齢別配置基準職員を補完する職員数を満たす場合は、基本分単価において充足すべき職員数を満たしていると取り扱って差し支えないこと。</t>
        </r>
      </text>
    </comment>
    <comment ref="B39" authorId="0" shapeId="0">
      <text>
        <r>
          <rPr>
            <sz val="9"/>
            <color indexed="81"/>
            <rFont val="MS P ゴシック"/>
            <family val="3"/>
            <charset val="128"/>
          </rPr>
          <t>副園長の設置は任意、常勤でなければならない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 ref="I21" authorId="0" shapeId="0">
      <text>
        <r>
          <rPr>
            <b/>
            <sz val="9"/>
            <color indexed="81"/>
            <rFont val="MS P ゴシック"/>
            <family val="3"/>
            <charset val="128"/>
          </rPr>
          <t>主幹教諭専任化をしていない場合は加算不可。</t>
        </r>
        <r>
          <rPr>
            <sz val="9"/>
            <color indexed="81"/>
            <rFont val="MS P ゴシック"/>
            <family val="3"/>
            <charset val="128"/>
          </rPr>
          <t xml:space="preserve">
</t>
        </r>
      </text>
    </comment>
    <comment ref="H22" authorId="0" shapeId="0">
      <text>
        <r>
          <rPr>
            <b/>
            <sz val="9"/>
            <color indexed="81"/>
            <rFont val="MS P ゴシック"/>
            <family val="3"/>
            <charset val="128"/>
          </rPr>
          <t>１号・２号・３号の利用定員の合計が９０人以下の施設は加算不可。</t>
        </r>
        <r>
          <rPr>
            <sz val="9"/>
            <color indexed="81"/>
            <rFont val="MS P ゴシック"/>
            <family val="3"/>
            <charset val="128"/>
          </rPr>
          <t xml:space="preserve">
</t>
        </r>
      </text>
    </comment>
    <comment ref="H30" authorId="0" shapeId="0">
      <text>
        <r>
          <rPr>
            <b/>
            <sz val="9"/>
            <color indexed="81"/>
            <rFont val="MS P ゴシック"/>
            <family val="3"/>
            <charset val="128"/>
          </rPr>
          <t>以下の事業等を１つ以上実施する場合に加算可能。
ⅰ　延長保育事業
ⅱ　一般型一時預かり事業
ⅲ　病児保育事業
ⅳ　０歳児に対する教育・保育の提供
ⅴ　障害児に対する教育・保育の提供</t>
        </r>
      </text>
    </comment>
    <comment ref="H31" authorId="0" shapeId="0">
      <text>
        <r>
          <rPr>
            <b/>
            <sz val="9"/>
            <color indexed="81"/>
            <rFont val="MS P ゴシック"/>
            <family val="3"/>
            <charset val="128"/>
          </rPr>
          <t>以下の事業等を複数実施する場合に加算可能。
ⅰ　延長保育事業
ⅱ　幼稚園型一時預かり事業
ⅲ　一般型一時預かり事業
ⅳ　病児保育事業
ⅴ　満３歳１号に対する教育・保育の提供
ⅵ　０歳児に対する教育・保育の提供
ⅶ　障害児に対する教育・保育の提供</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9" authorId="0" shapeId="0">
      <text>
        <r>
          <rPr>
            <sz val="9"/>
            <color indexed="81"/>
            <rFont val="MS P ゴシック"/>
            <family val="3"/>
            <charset val="128"/>
          </rPr>
          <t>【参考】
幼保連携型認定こども園の学級の編制、職員、設備及び運営に関する基準の運用上の取扱いについて（通知）（R7.3.28改定）
２．職員配置について（基準省令第５条及び附則第８条関係）
（１）園児の教育及び保育に直接従事する職員の数の算定方法について幼保連携型認定こども園に配置すべき園児の教育及び保育（満３歳未満の園児については、その保育。以下同じ。）に直接従事する職員の数の算定方法は、基準省令第５条第３項の規定のとおりであるが、その具体的な算定に当たっては、以下のとおり、年齢別に、園児の数を配置基準で除して小数点第１位まで求め（小数点第２位以下切捨て）、各々を合計した後に小数点以下を四捨五入することによるものとする。
必要配置数＝（０歳児の数×１／３）
＋｛（１歳児の数＋２歳児の数）×１／６｝
＋（３歳児の数×１／２０）
＋｛（４歳児の数＋５歳児の数）×１／３０｝</t>
        </r>
      </text>
    </comment>
    <comment ref="M24" authorId="0" shapeId="0">
      <text>
        <r>
          <rPr>
            <sz val="9"/>
            <color indexed="81"/>
            <rFont val="MS P ゴシック"/>
            <family val="3"/>
            <charset val="128"/>
          </rPr>
          <t>【参考】
一時預かり事業の実施について（R7.3.31改正）
（２）幼稚園型Ⅰ（（３）を除く）
④ 職員の配置④ 職員の配置
規則第36条の35第１項第２号ロ（附則第56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t>
        </r>
        <r>
          <rPr>
            <b/>
            <sz val="9"/>
            <color indexed="81"/>
            <rFont val="MS P ゴシック"/>
            <family val="3"/>
            <charset val="128"/>
          </rPr>
          <t>保育士又は幼稚園教諭普通免許状所有者１名で処遇ができる乳幼児数の範囲内において、教育・保育従事者を保育士又は幼稚園教諭普通免許状所有者１名とすることができること</t>
        </r>
        <r>
          <rPr>
            <sz val="9"/>
            <color indexed="81"/>
            <rFont val="MS P ゴシック"/>
            <family val="3"/>
            <charset val="128"/>
          </rPr>
          <t>。また、保育士又は幼稚園教論普通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幼稚園教諭、小学校教諭又は養護教諭の普通免許状を有していた者（教育職員免許法（昭和24年法律第147号）第10条第1項又は第11条第4項の規定により免許状が失効した者を除く。）</t>
        </r>
      </text>
    </comment>
    <comment ref="M28" authorId="0" shapeId="0">
      <text>
        <r>
          <rPr>
            <sz val="9"/>
            <color indexed="81"/>
            <rFont val="MS P ゴシック"/>
            <family val="3"/>
            <charset val="128"/>
          </rPr>
          <t>【参考】
特定教育・保育等に要する費用の額の算定に関する基準等の実施上の留意事項について（R2.5.12改正）
Ⅱ 基本部分
１．基本分単価（⑤）
（ア）保育教諭等
ⅱ その他（※）
ａ 保育認定子どもに係る利用定員が90人以下の施設については１人
ｂ 保育標準時間認定を受けた子どもが利用する施設については１人（注１）
ｃ 主幹保育教諭等２人を専任化させるための代替保育教諭等を２人（うち１人は非常勤講師等でも可とする）（注2）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t>
        </r>
      </text>
    </comment>
    <comment ref="O38" authorId="0" shapeId="0">
      <text>
        <r>
          <rPr>
            <sz val="9"/>
            <color indexed="81"/>
            <rFont val="MS P ゴシック"/>
            <family val="3"/>
            <charset val="128"/>
          </rPr>
          <t>【参考】
特定教育・保育等に要する費用の額の算定に関する基準等の実施上の留意事項について（R7.4.11改正）
Ⅲ 基本加算部分
８．チーム保育加配加算（⑬）
（１）加算の要件
（注１）３歳以上子どもに係る利用定員の区分ごとの上限人数
45人以下：１人、46人以上150人以下：２人、151人以上240人以下：３人、
241人以上270人以下：3.5人、271人以上300人以下：５人、
301人以上450人以下：６人、451人以上：８人
（注２）「必要保育教諭等の数」を超えて配置する保育教諭等の数に応じ、以下のとおり取り扱うこととする。
① 常勤換算人数（小数点第２位以下切り捨て、小数点第１位四捨五入前）による配置保育教諭等の数から「必要保育教諭等の数」を減じて得た員数が３人未満の場合
小数点第１位を四捨五入した員数とする。
（例）2.3人の場合、２人
② 常勤換算人数（小数点第２位以下切り捨て、小数点第１位四捨五入前）による配置保育教諭等の数から「必要保育教諭等の数」を減じて得た員数が３人以上の場合
小数点第１位が１又は２のときは小数点第１位を切り捨て、小数点第１位が３又は４のときは小数点第１位を0.5とし、小数点第１位が５以上のときは小数点第１位を切り上げて得た員数とする。
（例）3.2人の場合→3人、3.4人の場合→3.5人、3.6人の場合→4人</t>
        </r>
      </text>
    </comment>
  </commentList>
</comments>
</file>

<file path=xl/comments6.xml><?xml version="1.0" encoding="utf-8"?>
<comments xmlns="http://schemas.openxmlformats.org/spreadsheetml/2006/main">
  <authors>
    <author>三木市役所</author>
  </authors>
  <commentList>
    <comment ref="B24" authorId="0" shapeId="0">
      <text>
        <r>
          <rPr>
            <sz val="9"/>
            <color indexed="81"/>
            <rFont val="MS P ゴシック"/>
            <family val="3"/>
            <charset val="128"/>
          </rPr>
          <t xml:space="preserve">・「非常勤（実人数）」については、障害児保育に従事する勤務時間に限定せず、障害児保育のために加配された職員数を記入すること。
　※１
　「全職員数」から「障害児保育のための加配職員数」を控除した数は、保育施設における職員の配置基準から算出される標準的な職員数を下回ることがないことに注意すること。
　※２　
　国庫補助（保育対策総合支援事業費補助金等）を受けて配置している職員を加配職員に含めないよう注意すること。
</t>
        </r>
      </text>
    </comment>
  </commentList>
</comments>
</file>

<file path=xl/sharedStrings.xml><?xml version="1.0" encoding="utf-8"?>
<sst xmlns="http://schemas.openxmlformats.org/spreadsheetml/2006/main" count="428" uniqueCount="344">
  <si>
    <t>0歳児</t>
    <rPh sb="1" eb="3">
      <t>サイジ</t>
    </rPh>
    <phoneticPr fontId="1"/>
  </si>
  <si>
    <t>1歳児</t>
    <rPh sb="1" eb="3">
      <t>サイジ</t>
    </rPh>
    <phoneticPr fontId="1"/>
  </si>
  <si>
    <t>2歳児</t>
    <rPh sb="1" eb="3">
      <t>サイジ</t>
    </rPh>
    <phoneticPr fontId="1"/>
  </si>
  <si>
    <t>3歳児</t>
    <rPh sb="1" eb="3">
      <t>サイジ</t>
    </rPh>
    <phoneticPr fontId="1"/>
  </si>
  <si>
    <t>4歳児</t>
    <rPh sb="1" eb="3">
      <t>サイジ</t>
    </rPh>
    <phoneticPr fontId="1"/>
  </si>
  <si>
    <t>5歳児</t>
    <rPh sb="1" eb="3">
      <t>サイジ</t>
    </rPh>
    <phoneticPr fontId="1"/>
  </si>
  <si>
    <t>1号認定</t>
    <rPh sb="1" eb="2">
      <t>ゴウ</t>
    </rPh>
    <rPh sb="2" eb="4">
      <t>ニンテイ</t>
    </rPh>
    <phoneticPr fontId="1"/>
  </si>
  <si>
    <t>2号認定</t>
    <rPh sb="1" eb="2">
      <t>ゴウ</t>
    </rPh>
    <rPh sb="2" eb="4">
      <t>ニンテイ</t>
    </rPh>
    <phoneticPr fontId="1"/>
  </si>
  <si>
    <t>3号認定</t>
    <rPh sb="1" eb="2">
      <t>ゴウ</t>
    </rPh>
    <rPh sb="2" eb="4">
      <t>ニンテイ</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</si>
  <si>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</si>
  <si>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</si>
  <si>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</si>
  <si>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園長</t>
    <rPh sb="0" eb="2">
      <t>エンチョウ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</si>
  <si>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</si>
  <si>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</si>
  <si>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</si>
  <si>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〇</t>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</si>
  <si>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</si>
  <si>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</si>
  <si>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</si>
  <si>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</si>
  <si>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</si>
  <si>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</si>
  <si>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</si>
  <si>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</si>
  <si>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</si>
  <si>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療育支援加算対象補助者</t>
    <rPh sb="0" eb="2">
      <t>リョウイク</t>
    </rPh>
    <rPh sb="2" eb="4">
      <t>シエン</t>
    </rPh>
    <rPh sb="4" eb="6">
      <t>カサン</t>
    </rPh>
    <rPh sb="6" eb="8">
      <t>タイショウ</t>
    </rPh>
    <rPh sb="8" eb="10">
      <t>ホジョ</t>
    </rPh>
    <rPh sb="10" eb="11">
      <t>モノ</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</si>
  <si>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</si>
  <si>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</si>
  <si>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</si>
  <si>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</si>
  <si>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幼稚園型一時預かり事業を実施している</t>
    <rPh sb="0" eb="3">
      <t>ヨウチエン</t>
    </rPh>
    <rPh sb="3" eb="4">
      <t>ガタ</t>
    </rPh>
    <rPh sb="4" eb="6">
      <t>イチジ</t>
    </rPh>
    <rPh sb="6" eb="7">
      <t>アズ</t>
    </rPh>
    <rPh sb="9" eb="11">
      <t>ジギョウ</t>
    </rPh>
    <rPh sb="12" eb="14">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</si>
  <si>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</si>
  <si>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月の初日に満3歳1号が在籍している</t>
    <rPh sb="0" eb="1">
      <t>ツキ</t>
    </rPh>
    <rPh sb="2" eb="4">
      <t>ショニチ</t>
    </rPh>
    <rPh sb="5" eb="6">
      <t>マン</t>
    </rPh>
    <rPh sb="7" eb="8">
      <t>サイ</t>
    </rPh>
    <rPh sb="9" eb="10">
      <t>ゴウ</t>
    </rPh>
    <rPh sb="11" eb="13">
      <t>ザイセキ</t>
    </rPh>
    <phoneticPr fontId="1"/>
  </si>
  <si>
    <t>月の初日に障害児が在籍している</t>
    <rPh sb="0" eb="1">
      <t>ツキ</t>
    </rPh>
    <rPh sb="2" eb="4">
      <t>ショニチ</t>
    </rPh>
    <rPh sb="5" eb="7">
      <t>ショウガイ</t>
    </rPh>
    <rPh sb="7" eb="8">
      <t>ジ</t>
    </rPh>
    <rPh sb="9" eb="11">
      <t>ザイセキ</t>
    </rPh>
    <phoneticPr fontId="1"/>
  </si>
  <si>
    <t>月の初日に0歳児が3人以上在籍している</t>
    <rPh sb="0" eb="1">
      <t>ツキ</t>
    </rPh>
    <rPh sb="2" eb="4">
      <t>ショニチ</t>
    </rPh>
    <rPh sb="6" eb="8">
      <t>サイジ</t>
    </rPh>
    <rPh sb="10" eb="13">
      <t>ニンイジョウ</t>
    </rPh>
    <rPh sb="13" eb="15">
      <t>ザイセキ</t>
    </rPh>
    <phoneticPr fontId="1"/>
  </si>
  <si>
    <t>1号</t>
    <rPh sb="1" eb="2">
      <t>ゴウ</t>
    </rPh>
    <phoneticPr fontId="1"/>
  </si>
  <si>
    <t>2・3号</t>
    <rPh sb="3" eb="4">
      <t>ゴウ</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</si>
  <si>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</si>
  <si>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</si>
  <si>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障害児は手帳の有無は問わない</t>
    <rPh sb="0" eb="2">
      <t>ショウガイ</t>
    </rPh>
    <rPh sb="2" eb="3">
      <t>ジ</t>
    </rPh>
    <rPh sb="4" eb="6">
      <t>テチョウ</t>
    </rPh>
    <rPh sb="7" eb="9">
      <t>ウム</t>
    </rPh>
    <rPh sb="10" eb="11">
      <t>ト</t>
    </rPh>
    <phoneticPr fontId="1"/>
  </si>
  <si>
    <t>副園長・教頭配置加算</t>
    <rPh sb="0" eb="3">
      <t>フクエンチョウ</t>
    </rPh>
    <rPh sb="4" eb="6">
      <t>キョウトウ</t>
    </rPh>
    <rPh sb="6" eb="8">
      <t>ハイチ</t>
    </rPh>
    <rPh sb="8" eb="10">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</si>
  <si>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</si>
  <si>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</si>
  <si>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</si>
  <si>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</si>
  <si>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</si>
  <si>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</si>
  <si>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</si>
  <si>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</si>
  <si>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</si>
  <si>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</si>
  <si>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常態的に土曜日に閉所する場合</t>
    <rPh sb="0" eb="2">
      <t>ジョウタイ</t>
    </rPh>
    <rPh sb="2" eb="3">
      <t>テキ</t>
    </rPh>
    <rPh sb="4" eb="7">
      <t>ドヨウビ</t>
    </rPh>
    <rPh sb="8" eb="10">
      <t>ヘイショ</t>
    </rPh>
    <rPh sb="12" eb="14">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</si>
  <si>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</si>
  <si>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</si>
  <si>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</si>
  <si>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</si>
  <si>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</si>
  <si>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</si>
  <si>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</si>
  <si>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</si>
  <si>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</si>
  <si>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</si>
  <si>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小学校接続加算</t>
    <rPh sb="0" eb="3">
      <t>ショウガッコウ</t>
    </rPh>
    <rPh sb="3" eb="5">
      <t>セツゾク</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</si>
  <si>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</si>
  <si>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</si>
  <si>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</si>
  <si>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</si>
  <si>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</si>
  <si>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</si>
  <si>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</si>
  <si>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</si>
  <si>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</si>
  <si>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</si>
  <si>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</si>
  <si>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</si>
  <si>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</si>
  <si>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</si>
  <si>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副食費免除加算</t>
    <rPh sb="0" eb="3">
      <t>フクショクヒ</t>
    </rPh>
    <rPh sb="3" eb="5">
      <t>メンジョ</t>
    </rPh>
    <rPh sb="5" eb="7">
      <t>カサン</t>
    </rPh>
    <phoneticPr fontId="1"/>
  </si>
  <si>
    <t>〇</t>
  </si>
  <si>
    <t>事務職員</t>
    <rPh sb="0" eb="2">
      <t>ジム</t>
    </rPh>
    <rPh sb="2" eb="4">
      <t>ショクイン</t>
    </rPh>
    <phoneticPr fontId="1"/>
  </si>
  <si>
    <t>常勤時間</t>
    <rPh sb="0" eb="2">
      <t>ジョウキン</t>
    </rPh>
    <rPh sb="2" eb="4">
      <t>ジカン</t>
    </rPh>
    <phoneticPr fontId="1"/>
  </si>
  <si>
    <t>管理栄養士</t>
    <rPh sb="0" eb="2">
      <t>カンリ</t>
    </rPh>
    <rPh sb="2" eb="5">
      <t>エイヨウシ</t>
    </rPh>
    <phoneticPr fontId="1"/>
  </si>
  <si>
    <t>調理師</t>
    <rPh sb="0" eb="3">
      <t>チョウリシ</t>
    </rPh>
    <phoneticPr fontId="1"/>
  </si>
  <si>
    <t>用務員</t>
    <rPh sb="0" eb="3">
      <t>ヨウムイン</t>
    </rPh>
    <phoneticPr fontId="1"/>
  </si>
  <si>
    <t>主幹保育教諭（２・３号）</t>
    <rPh sb="0" eb="2">
      <t>シュカン</t>
    </rPh>
    <rPh sb="2" eb="4">
      <t>ホイク</t>
    </rPh>
    <rPh sb="4" eb="6">
      <t>キョウユ</t>
    </rPh>
    <rPh sb="10" eb="11">
      <t>ゴウ</t>
    </rPh>
    <phoneticPr fontId="1"/>
  </si>
  <si>
    <t>主幹保育教諭（１号）</t>
    <rPh sb="0" eb="2">
      <t>シュカン</t>
    </rPh>
    <rPh sb="2" eb="4">
      <t>ホイク</t>
    </rPh>
    <rPh sb="4" eb="6">
      <t>キョウユ</t>
    </rPh>
    <rPh sb="8" eb="9">
      <t>ゴウ</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</si>
  <si>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</si>
  <si>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</si>
  <si>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</si>
  <si>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保育教諭</t>
    <rPh sb="0" eb="2">
      <t>ホイク</t>
    </rPh>
    <rPh sb="2" eb="4">
      <t>キョウユ</t>
    </rPh>
    <phoneticPr fontId="1"/>
  </si>
  <si>
    <t>保育士</t>
    <rPh sb="0" eb="3">
      <t>ホイクシ</t>
    </rPh>
    <phoneticPr fontId="1"/>
  </si>
  <si>
    <t>保育教諭</t>
    <rPh sb="0" eb="2">
      <t>ホイク</t>
    </rPh>
    <rPh sb="2" eb="4">
      <t>キョウユ</t>
    </rPh>
    <phoneticPr fontId="1"/>
  </si>
  <si>
    <t>職種等</t>
    <rPh sb="0" eb="2">
      <t>ショクシュ</t>
    </rPh>
    <rPh sb="2" eb="3">
      <t>ナド</t>
    </rPh>
    <phoneticPr fontId="1"/>
  </si>
  <si>
    <t>氏　名</t>
    <rPh sb="0" eb="1">
      <t>シ</t>
    </rPh>
    <rPh sb="2" eb="3">
      <t>メイ</t>
    </rPh>
    <phoneticPr fontId="1"/>
  </si>
  <si>
    <t>主幹保育教諭等の専任化により子育て支援の取組みを実施していない場合（１号）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6">
      <t>ゴウ</t>
    </rPh>
    <phoneticPr fontId="1"/>
  </si>
  <si>
    <t>主幹保育教諭等の専任化により子育て支援の取組みを実施していない場合（２・３号）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8">
      <t>ゴウ</t>
    </rPh>
    <phoneticPr fontId="1"/>
  </si>
  <si>
    <t>定員を恒常的に超過する場合（１号）</t>
    <rPh sb="0" eb="2">
      <t>テイイン</t>
    </rPh>
    <rPh sb="3" eb="6">
      <t>コウジョウテキ</t>
    </rPh>
    <rPh sb="7" eb="9">
      <t>チョウカ</t>
    </rPh>
    <rPh sb="11" eb="13">
      <t>バアイ</t>
    </rPh>
    <rPh sb="15" eb="16">
      <t>ゴウ</t>
    </rPh>
    <phoneticPr fontId="1"/>
  </si>
  <si>
    <t>定員を恒常的に超過する場合（２・３号）</t>
    <rPh sb="0" eb="2">
      <t>テイイン</t>
    </rPh>
    <rPh sb="3" eb="6">
      <t>コウジョウテキ</t>
    </rPh>
    <rPh sb="7" eb="9">
      <t>チョウカ</t>
    </rPh>
    <rPh sb="11" eb="13">
      <t>バアイ</t>
    </rPh>
    <rPh sb="17" eb="18">
      <t>ゴウ</t>
    </rPh>
    <phoneticPr fontId="1"/>
  </si>
  <si>
    <t>副園長</t>
    <rPh sb="0" eb="3">
      <t>フクエンチョウ</t>
    </rPh>
    <phoneticPr fontId="1"/>
  </si>
  <si>
    <t>【基本配置】</t>
    <rPh sb="1" eb="3">
      <t>キホン</t>
    </rPh>
    <rPh sb="3" eb="5">
      <t>ハイチ</t>
    </rPh>
    <phoneticPr fontId="1"/>
  </si>
  <si>
    <t>上限</t>
    <rPh sb="0" eb="2">
      <t>ジョウゲン</t>
    </rPh>
    <phoneticPr fontId="1"/>
  </si>
  <si>
    <t>定員</t>
    <rPh sb="0" eb="2">
      <t>テイイン</t>
    </rPh>
    <phoneticPr fontId="1"/>
  </si>
  <si>
    <t>学級編成</t>
    <rPh sb="0" eb="2">
      <t>ガッキュウ</t>
    </rPh>
    <rPh sb="2" eb="4">
      <t>ヘンセイ</t>
    </rPh>
    <phoneticPr fontId="1"/>
  </si>
  <si>
    <t>チーム</t>
    <phoneticPr fontId="1"/>
  </si>
  <si>
    <t>給食</t>
    <rPh sb="0" eb="2">
      <t>キュウショク</t>
    </rPh>
    <phoneticPr fontId="1"/>
  </si>
  <si>
    <t>賃借料</t>
    <rPh sb="0" eb="3">
      <t>チンシャクリョウ</t>
    </rPh>
    <phoneticPr fontId="1"/>
  </si>
  <si>
    <t>分園</t>
    <rPh sb="0" eb="2">
      <t>ブンエン</t>
    </rPh>
    <phoneticPr fontId="1"/>
  </si>
  <si>
    <t>主専１無</t>
    <rPh sb="0" eb="1">
      <t>シュ</t>
    </rPh>
    <rPh sb="1" eb="2">
      <t>セン</t>
    </rPh>
    <rPh sb="3" eb="4">
      <t>ム</t>
    </rPh>
    <phoneticPr fontId="1"/>
  </si>
  <si>
    <t>主専２無</t>
    <rPh sb="0" eb="1">
      <t>シュ</t>
    </rPh>
    <rPh sb="1" eb="2">
      <t>セン</t>
    </rPh>
    <rPh sb="3" eb="4">
      <t>ム</t>
    </rPh>
    <phoneticPr fontId="1"/>
  </si>
  <si>
    <t>配基準下</t>
    <rPh sb="0" eb="1">
      <t>クバ</t>
    </rPh>
    <rPh sb="1" eb="3">
      <t>キジュン</t>
    </rPh>
    <rPh sb="3" eb="4">
      <t>シタ</t>
    </rPh>
    <phoneticPr fontId="1"/>
  </si>
  <si>
    <t>資格無</t>
    <rPh sb="0" eb="2">
      <t>シカク</t>
    </rPh>
    <rPh sb="2" eb="3">
      <t>ナシ</t>
    </rPh>
    <phoneticPr fontId="1"/>
  </si>
  <si>
    <t>療育</t>
    <rPh sb="0" eb="2">
      <t>リョウイク</t>
    </rPh>
    <phoneticPr fontId="1"/>
  </si>
  <si>
    <t>冷暖房</t>
    <rPh sb="0" eb="3">
      <t>レイダンボウ</t>
    </rPh>
    <phoneticPr fontId="1"/>
  </si>
  <si>
    <t>除雪</t>
    <rPh sb="0" eb="2">
      <t>ジョセツ</t>
    </rPh>
    <phoneticPr fontId="1"/>
  </si>
  <si>
    <t>降灰</t>
    <rPh sb="0" eb="2">
      <t>コウハイ</t>
    </rPh>
    <phoneticPr fontId="1"/>
  </si>
  <si>
    <t>１号</t>
    <rPh sb="1" eb="2">
      <t>ゴウ</t>
    </rPh>
    <phoneticPr fontId="1"/>
  </si>
  <si>
    <t>２・３号</t>
    <rPh sb="3" eb="4">
      <t>ゴウ</t>
    </rPh>
    <phoneticPr fontId="1"/>
  </si>
  <si>
    <t>満３歳</t>
    <rPh sb="0" eb="1">
      <t>マン</t>
    </rPh>
    <rPh sb="2" eb="3">
      <t>サイ</t>
    </rPh>
    <phoneticPr fontId="1"/>
  </si>
  <si>
    <t>一般型預</t>
    <rPh sb="0" eb="1">
      <t>イチ</t>
    </rPh>
    <rPh sb="1" eb="2">
      <t>ハン</t>
    </rPh>
    <rPh sb="2" eb="3">
      <t>カタ</t>
    </rPh>
    <rPh sb="3" eb="4">
      <t>アズ</t>
    </rPh>
    <phoneticPr fontId="1"/>
  </si>
  <si>
    <t>障害児</t>
    <rPh sb="0" eb="2">
      <t>ショウガイ</t>
    </rPh>
    <rPh sb="2" eb="3">
      <t>ジ</t>
    </rPh>
    <phoneticPr fontId="1"/>
  </si>
  <si>
    <t>一般型預</t>
    <rPh sb="0" eb="3">
      <t>イッパンガタ</t>
    </rPh>
    <rPh sb="3" eb="4">
      <t>アズ</t>
    </rPh>
    <phoneticPr fontId="1"/>
  </si>
  <si>
    <t>０歳児</t>
    <rPh sb="1" eb="3">
      <t>サイジ</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</si>
  <si>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</si>
  <si>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</si>
  <si>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</si>
  <si>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子育て支援の取組み（主幹専任化要件）</t>
    <rPh sb="0" eb="2">
      <t>コソダ</t>
    </rPh>
    <rPh sb="3" eb="5">
      <t>シエン</t>
    </rPh>
    <rPh sb="6" eb="8">
      <t>トリクミ</t>
    </rPh>
    <rPh sb="10" eb="12">
      <t>シュカン</t>
    </rPh>
    <rPh sb="12" eb="14">
      <t>センニン</t>
    </rPh>
    <rPh sb="14" eb="15">
      <t>カ</t>
    </rPh>
    <rPh sb="15" eb="17">
      <t>ヨウケン</t>
    </rPh>
    <phoneticPr fontId="1"/>
  </si>
  <si>
    <t>取組み数（１号）</t>
    <rPh sb="0" eb="2">
      <t>トリク</t>
    </rPh>
    <rPh sb="3" eb="4">
      <t>スウ</t>
    </rPh>
    <rPh sb="6" eb="7">
      <t>ゴウ</t>
    </rPh>
    <phoneticPr fontId="1"/>
  </si>
  <si>
    <t>取組み数（２・３号）</t>
    <rPh sb="0" eb="2">
      <t>トリク</t>
    </rPh>
    <rPh sb="3" eb="4">
      <t>スウ</t>
    </rPh>
    <rPh sb="4" eb="5">
      <t>ジッスウ</t>
    </rPh>
    <rPh sb="8" eb="9">
      <t>ゴウ</t>
    </rPh>
    <phoneticPr fontId="1"/>
  </si>
  <si>
    <t>子育て支援の取組み</t>
    <rPh sb="0" eb="2">
      <t>コソダ</t>
    </rPh>
    <rPh sb="3" eb="5">
      <t>シエン</t>
    </rPh>
    <rPh sb="6" eb="8">
      <t>トリク</t>
    </rPh>
    <phoneticPr fontId="1"/>
  </si>
  <si>
    <t>定員超１</t>
    <rPh sb="0" eb="1">
      <t>サダム</t>
    </rPh>
    <rPh sb="1" eb="2">
      <t>イン</t>
    </rPh>
    <rPh sb="2" eb="3">
      <t>チョウ</t>
    </rPh>
    <phoneticPr fontId="1"/>
  </si>
  <si>
    <t>定員超２</t>
    <rPh sb="0" eb="1">
      <t>サダム</t>
    </rPh>
    <rPh sb="1" eb="2">
      <t>イン</t>
    </rPh>
    <rPh sb="2" eb="3">
      <t>チョウ</t>
    </rPh>
    <phoneticPr fontId="1"/>
  </si>
  <si>
    <t>年</t>
    <rPh sb="0" eb="1">
      <t>ネン</t>
    </rPh>
    <phoneticPr fontId="1"/>
  </si>
  <si>
    <t>月</t>
    <rPh sb="0" eb="1">
      <t>ツキ</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</si>
  <si>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</si>
  <si>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</si>
  <si>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</si>
  <si>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</si>
  <si>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高齢活躍</t>
    <rPh sb="0" eb="2">
      <t>コウレイ</t>
    </rPh>
    <rPh sb="2" eb="4">
      <t>カツヤク</t>
    </rPh>
    <phoneticPr fontId="1"/>
  </si>
  <si>
    <t>栄養管理</t>
    <rPh sb="0" eb="2">
      <t>エイヨウ</t>
    </rPh>
    <rPh sb="2" eb="4">
      <t>カンリ</t>
    </rPh>
    <phoneticPr fontId="1"/>
  </si>
  <si>
    <t>第三評価</t>
    <rPh sb="0" eb="1">
      <t>ダイ</t>
    </rPh>
    <rPh sb="1" eb="2">
      <t>サン</t>
    </rPh>
    <rPh sb="2" eb="4">
      <t>ヒョウカ</t>
    </rPh>
    <phoneticPr fontId="1"/>
  </si>
  <si>
    <t>関係評価</t>
    <rPh sb="0" eb="2">
      <t>カンケイ</t>
    </rPh>
    <rPh sb="2" eb="4">
      <t>ヒョウカ</t>
    </rPh>
    <phoneticPr fontId="1"/>
  </si>
  <si>
    <t>事務配置</t>
    <rPh sb="0" eb="2">
      <t>ジム</t>
    </rPh>
    <rPh sb="2" eb="4">
      <t>ハイチ</t>
    </rPh>
    <phoneticPr fontId="1"/>
  </si>
  <si>
    <t>指導充実</t>
    <rPh sb="0" eb="2">
      <t>シドウ</t>
    </rPh>
    <rPh sb="2" eb="4">
      <t>ジュウジツ</t>
    </rPh>
    <phoneticPr fontId="1"/>
  </si>
  <si>
    <t>事務対加</t>
    <rPh sb="0" eb="2">
      <t>ジム</t>
    </rPh>
    <rPh sb="2" eb="3">
      <t>タイ</t>
    </rPh>
    <rPh sb="3" eb="4">
      <t>カ</t>
    </rPh>
    <phoneticPr fontId="1"/>
  </si>
  <si>
    <t>機能強化</t>
    <rPh sb="0" eb="2">
      <t>キノウ</t>
    </rPh>
    <rPh sb="2" eb="4">
      <t>キョウカ</t>
    </rPh>
    <phoneticPr fontId="1"/>
  </si>
  <si>
    <t>小学接続</t>
    <rPh sb="0" eb="1">
      <t>ショウ</t>
    </rPh>
    <rPh sb="1" eb="2">
      <t>ガク</t>
    </rPh>
    <rPh sb="2" eb="4">
      <t>セツゾク</t>
    </rPh>
    <phoneticPr fontId="1"/>
  </si>
  <si>
    <t>１号定無</t>
    <rPh sb="1" eb="2">
      <t>ゴウ</t>
    </rPh>
    <rPh sb="2" eb="3">
      <t>ジョウ</t>
    </rPh>
    <rPh sb="3" eb="4">
      <t>ム</t>
    </rPh>
    <phoneticPr fontId="1"/>
  </si>
  <si>
    <t>土曜閉園</t>
    <rPh sb="0" eb="2">
      <t>ドヨウ</t>
    </rPh>
    <rPh sb="2" eb="3">
      <t>シ</t>
    </rPh>
    <rPh sb="3" eb="4">
      <t>エン</t>
    </rPh>
    <phoneticPr fontId="1"/>
  </si>
  <si>
    <t>３歳配置</t>
    <rPh sb="1" eb="2">
      <t>サイ</t>
    </rPh>
    <rPh sb="2" eb="4">
      <t>ハイチ</t>
    </rPh>
    <phoneticPr fontId="1"/>
  </si>
  <si>
    <t>満３歳対</t>
    <rPh sb="0" eb="1">
      <t>マン</t>
    </rPh>
    <rPh sb="2" eb="3">
      <t>サイ</t>
    </rPh>
    <rPh sb="3" eb="4">
      <t>タイ</t>
    </rPh>
    <phoneticPr fontId="1"/>
  </si>
  <si>
    <t>講師配置</t>
    <rPh sb="0" eb="2">
      <t>コウシ</t>
    </rPh>
    <rPh sb="2" eb="4">
      <t>ハイチ</t>
    </rPh>
    <phoneticPr fontId="1"/>
  </si>
  <si>
    <t>通園送迎</t>
    <rPh sb="0" eb="2">
      <t>ツウエン</t>
    </rPh>
    <rPh sb="2" eb="4">
      <t>ソウゲイ</t>
    </rPh>
    <phoneticPr fontId="1"/>
  </si>
  <si>
    <t>外部監査</t>
    <rPh sb="0" eb="2">
      <t>ガイブ</t>
    </rPh>
    <rPh sb="2" eb="4">
      <t>カンサ</t>
    </rPh>
    <phoneticPr fontId="1"/>
  </si>
  <si>
    <t>休日保育</t>
    <rPh sb="0" eb="2">
      <t>キュウジツ</t>
    </rPh>
    <rPh sb="2" eb="4">
      <t>ホイク</t>
    </rPh>
    <phoneticPr fontId="1"/>
  </si>
  <si>
    <t>夜間保育</t>
    <rPh sb="0" eb="2">
      <t>ヤカン</t>
    </rPh>
    <rPh sb="2" eb="4">
      <t>ホイク</t>
    </rPh>
    <phoneticPr fontId="1"/>
  </si>
  <si>
    <t>減価償費</t>
    <rPh sb="0" eb="2">
      <t>ゲンカ</t>
    </rPh>
    <rPh sb="2" eb="3">
      <t>ショウ</t>
    </rPh>
    <rPh sb="3" eb="4">
      <t>ヒ</t>
    </rPh>
    <phoneticPr fontId="1"/>
  </si>
  <si>
    <t>副食免除</t>
    <rPh sb="0" eb="2">
      <t>フクショク</t>
    </rPh>
    <rPh sb="2" eb="4">
      <t>メンジョ</t>
    </rPh>
    <phoneticPr fontId="1"/>
  </si>
  <si>
    <t>幼稚型預</t>
    <rPh sb="0" eb="2">
      <t>ヨウチ</t>
    </rPh>
    <rPh sb="2" eb="3">
      <t>カタ</t>
    </rPh>
    <rPh sb="3" eb="4">
      <t>アズ</t>
    </rPh>
    <phoneticPr fontId="1"/>
  </si>
  <si>
    <t>病児保育</t>
    <rPh sb="0" eb="2">
      <t>ビョウジ</t>
    </rPh>
    <rPh sb="2" eb="4">
      <t>ホイク</t>
    </rPh>
    <phoneticPr fontId="1"/>
  </si>
  <si>
    <t>延長保育</t>
    <rPh sb="0" eb="2">
      <t>エンチョウ</t>
    </rPh>
    <rPh sb="2" eb="4">
      <t>ホイク</t>
    </rPh>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</si>
  <si>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23">
      <t>ニン</t>
    </rPh>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</si>
  <si>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19">
      <t>ニンテイ</t>
    </rPh>
    <rPh sb="22" eb="23">
      <t>エン</t>
    </rPh>
    <phoneticPr fontId="1"/>
  </si>
  <si>
    <t>必要休憩保育教諭数</t>
    <rPh sb="0" eb="2">
      <t>ヒツヨウ</t>
    </rPh>
    <rPh sb="2" eb="4">
      <t>キュウケイ</t>
    </rPh>
    <rPh sb="4" eb="6">
      <t>ホイク</t>
    </rPh>
    <rPh sb="6" eb="8">
      <t>キョウユ</t>
    </rPh>
    <rPh sb="8" eb="9">
      <t>スウ</t>
    </rPh>
    <phoneticPr fontId="1"/>
  </si>
  <si>
    <t>保育標準時間対応職員数</t>
    <rPh sb="0" eb="2">
      <t>ホイク</t>
    </rPh>
    <rPh sb="2" eb="4">
      <t>ヒョウジュン</t>
    </rPh>
    <rPh sb="4" eb="6">
      <t>ジカン</t>
    </rPh>
    <rPh sb="6" eb="8">
      <t>タイオウ</t>
    </rPh>
    <rPh sb="8" eb="10">
      <t>ショクイン</t>
    </rPh>
    <rPh sb="10" eb="11">
      <t>スウ</t>
    </rPh>
    <phoneticPr fontId="1"/>
  </si>
  <si>
    <t>チーム保育加配加算</t>
    <rPh sb="3" eb="5">
      <t>ホイク</t>
    </rPh>
    <rPh sb="5" eb="7">
      <t>カハイ</t>
    </rPh>
    <rPh sb="7" eb="9">
      <t>カサン</t>
    </rPh>
    <phoneticPr fontId="1"/>
  </si>
  <si>
    <t>チーム保育加算可能数</t>
    <rPh sb="3" eb="5">
      <t>ホイク</t>
    </rPh>
    <rPh sb="5" eb="7">
      <t>カサン</t>
    </rPh>
    <rPh sb="7" eb="9">
      <t>カノウ</t>
    </rPh>
    <rPh sb="9" eb="10">
      <t>スウ</t>
    </rPh>
    <phoneticPr fontId="1"/>
  </si>
  <si>
    <t>１・２号利用定員
（３歳児以上）</t>
    <rPh sb="3" eb="4">
      <t>ゴウ</t>
    </rPh>
    <rPh sb="4" eb="6">
      <t>リヨウ</t>
    </rPh>
    <rPh sb="6" eb="8">
      <t>テイイン</t>
    </rPh>
    <rPh sb="11" eb="15">
      <t>サイジイジョウ</t>
    </rPh>
    <phoneticPr fontId="1"/>
  </si>
  <si>
    <t>小学校との連携・接続の取組みをしている</t>
    <rPh sb="0" eb="3">
      <t>ショウガッコウ</t>
    </rPh>
    <rPh sb="5" eb="7">
      <t>レンケイ</t>
    </rPh>
    <rPh sb="8" eb="10">
      <t>セツゾク</t>
    </rPh>
    <rPh sb="11" eb="13">
      <t>トリク</t>
    </rPh>
    <phoneticPr fontId="1"/>
  </si>
  <si>
    <t>小学校連携</t>
    <rPh sb="0" eb="3">
      <t>ショウガッコウ</t>
    </rPh>
    <rPh sb="3" eb="5">
      <t>レンケイ</t>
    </rPh>
    <phoneticPr fontId="1"/>
  </si>
  <si>
    <t>幼稚園型一時預かり事業</t>
    <rPh sb="0" eb="3">
      <t>ヨウチエン</t>
    </rPh>
    <rPh sb="3" eb="4">
      <t>ガタ</t>
    </rPh>
    <rPh sb="4" eb="6">
      <t>イチジ</t>
    </rPh>
    <rPh sb="6" eb="7">
      <t>アズ</t>
    </rPh>
    <rPh sb="9" eb="11">
      <t>ジギョウ</t>
    </rPh>
    <phoneticPr fontId="1"/>
  </si>
  <si>
    <t>一般型一時預かり事業</t>
    <rPh sb="0" eb="2">
      <t>イッパン</t>
    </rPh>
    <rPh sb="2" eb="3">
      <t>ガタ</t>
    </rPh>
    <rPh sb="3" eb="5">
      <t>イチジ</t>
    </rPh>
    <rPh sb="5" eb="6">
      <t>アズ</t>
    </rPh>
    <rPh sb="8" eb="10">
      <t>ジギョウ</t>
    </rPh>
    <phoneticPr fontId="1"/>
  </si>
  <si>
    <t>学級編成調整加配加算</t>
    <rPh sb="0" eb="2">
      <t>ガッキュウ</t>
    </rPh>
    <rPh sb="2" eb="4">
      <t>ヘンセイ</t>
    </rPh>
    <rPh sb="4" eb="6">
      <t>チョウセイ</t>
    </rPh>
    <rPh sb="6" eb="8">
      <t>カハイ</t>
    </rPh>
    <rPh sb="8" eb="10">
      <t>カサン</t>
    </rPh>
    <phoneticPr fontId="1"/>
  </si>
  <si>
    <t>施設機能強化加算判定用</t>
    <rPh sb="0" eb="2">
      <t>シセツ</t>
    </rPh>
    <rPh sb="2" eb="4">
      <t>キノウ</t>
    </rPh>
    <rPh sb="4" eb="6">
      <t>キョウカ</t>
    </rPh>
    <rPh sb="6" eb="8">
      <t>カサン</t>
    </rPh>
    <rPh sb="8" eb="11">
      <t>ハンテイヨウ</t>
    </rPh>
    <phoneticPr fontId="1"/>
  </si>
  <si>
    <t>事務職員配置加算</t>
    <rPh sb="0" eb="2">
      <t>ジム</t>
    </rPh>
    <rPh sb="2" eb="4">
      <t>ショクイン</t>
    </rPh>
    <rPh sb="4" eb="6">
      <t>ハイチ</t>
    </rPh>
    <rPh sb="6" eb="8">
      <t>カサン</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</si>
  <si>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</si>
  <si>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</si>
  <si>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</si>
  <si>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休けい保育教諭は、２・３号利用定員が９０人以下の施設に１人分適用される。</t>
    <rPh sb="0" eb="1">
      <t>ヤス</t>
    </rPh>
    <rPh sb="3" eb="5">
      <t>ホイク</t>
    </rPh>
    <rPh sb="5" eb="7">
      <t>キョウユ</t>
    </rPh>
    <rPh sb="12" eb="13">
      <t>ゴウ</t>
    </rPh>
    <rPh sb="13" eb="15">
      <t>リヨウ</t>
    </rPh>
    <rPh sb="15" eb="17">
      <t>テイイン</t>
    </rPh>
    <rPh sb="20" eb="23">
      <t>ニンイカ</t>
    </rPh>
    <rPh sb="24" eb="26">
      <t>シセツ</t>
    </rPh>
    <rPh sb="28" eb="29">
      <t>ニン</t>
    </rPh>
    <rPh sb="29" eb="30">
      <t>ブン</t>
    </rPh>
    <rPh sb="30" eb="32">
      <t>テキヨウ</t>
    </rPh>
    <phoneticPr fontId="1"/>
  </si>
  <si>
    <t>※3</t>
    <phoneticPr fontId="1"/>
  </si>
  <si>
    <t>非常勤事務職員は、週２日勤務分（１号利用定員が９１人以上はプラス１人分）となる。ただし、施設長等が兼務する場合や業務委託する場合は配置は不要。</t>
    <rPh sb="0" eb="3">
      <t>ヒジョウキン</t>
    </rPh>
    <rPh sb="3" eb="5">
      <t>ジム</t>
    </rPh>
    <rPh sb="5" eb="7">
      <t>ショクイン</t>
    </rPh>
    <rPh sb="9" eb="10">
      <t>シュウ</t>
    </rPh>
    <rPh sb="11" eb="12">
      <t>ニチ</t>
    </rPh>
    <rPh sb="12" eb="14">
      <t>キンム</t>
    </rPh>
    <rPh sb="14" eb="15">
      <t>ブン</t>
    </rPh>
    <rPh sb="17" eb="18">
      <t>ゴウ</t>
    </rPh>
    <rPh sb="18" eb="20">
      <t>リヨウ</t>
    </rPh>
    <rPh sb="20" eb="22">
      <t>テイイン</t>
    </rPh>
    <rPh sb="25" eb="28">
      <t>ニンイジョウ</t>
    </rPh>
    <rPh sb="33" eb="35">
      <t>ニンブン</t>
    </rPh>
    <rPh sb="44" eb="46">
      <t>シセツ</t>
    </rPh>
    <rPh sb="46" eb="47">
      <t>チョウ</t>
    </rPh>
    <rPh sb="47" eb="48">
      <t>トウ</t>
    </rPh>
    <rPh sb="49" eb="51">
      <t>ケンム</t>
    </rPh>
    <rPh sb="53" eb="55">
      <t>バアイ</t>
    </rPh>
    <rPh sb="56" eb="58">
      <t>ギョウム</t>
    </rPh>
    <rPh sb="58" eb="60">
      <t>イタク</t>
    </rPh>
    <rPh sb="62" eb="64">
      <t>バアイ</t>
    </rPh>
    <rPh sb="65" eb="67">
      <t>ハイチ</t>
    </rPh>
    <rPh sb="68" eb="70">
      <t>フヨウ</t>
    </rPh>
    <phoneticPr fontId="1"/>
  </si>
  <si>
    <t>調理員等の人数は、２・３号利用定員が４０人以下は１人、４１～１５０人は２人、１５１人以上は３人（うち１人は非常勤）となる。ただし、外部搬入又は委託の場合は配置は不要。</t>
    <rPh sb="0" eb="3">
      <t>チョウリイン</t>
    </rPh>
    <rPh sb="3" eb="4">
      <t>トウ</t>
    </rPh>
    <rPh sb="5" eb="7">
      <t>ニンズウ</t>
    </rPh>
    <rPh sb="12" eb="13">
      <t>ゴウ</t>
    </rPh>
    <rPh sb="13" eb="15">
      <t>リヨウ</t>
    </rPh>
    <rPh sb="15" eb="17">
      <t>テイイン</t>
    </rPh>
    <rPh sb="20" eb="21">
      <t>ニン</t>
    </rPh>
    <rPh sb="21" eb="23">
      <t>イカ</t>
    </rPh>
    <rPh sb="25" eb="26">
      <t>ニン</t>
    </rPh>
    <rPh sb="33" eb="34">
      <t>ニン</t>
    </rPh>
    <rPh sb="36" eb="37">
      <t>ニン</t>
    </rPh>
    <rPh sb="41" eb="42">
      <t>ニン</t>
    </rPh>
    <rPh sb="42" eb="44">
      <t>イジョウ</t>
    </rPh>
    <rPh sb="46" eb="47">
      <t>ニン</t>
    </rPh>
    <rPh sb="51" eb="52">
      <t>ニン</t>
    </rPh>
    <rPh sb="53" eb="56">
      <t>ヒジョウキン</t>
    </rPh>
    <rPh sb="77" eb="79">
      <t>ハイチ</t>
    </rPh>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</si>
  <si>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</si>
  <si>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</si>
  <si>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療育支援加算</t>
    <rPh sb="0" eb="2">
      <t>リョウイク</t>
    </rPh>
    <rPh sb="2" eb="4">
      <t>シエン</t>
    </rPh>
    <rPh sb="4" eb="6">
      <t>カサン</t>
    </rPh>
    <phoneticPr fontId="1"/>
  </si>
  <si>
    <t>副園長・教頭配置加算</t>
    <rPh sb="0" eb="3">
      <t>フクエンチョウ</t>
    </rPh>
    <rPh sb="4" eb="6">
      <t>キョウトウ</t>
    </rPh>
    <rPh sb="6" eb="8">
      <t>ハイチ</t>
    </rPh>
    <rPh sb="8" eb="10">
      <t>カサン</t>
    </rPh>
    <phoneticPr fontId="1"/>
  </si>
  <si>
    <t>学級編成調整加配加算</t>
    <rPh sb="0" eb="10">
      <t>ガッキュウヘンセイチョウセイカハイカサン</t>
    </rPh>
    <phoneticPr fontId="1"/>
  </si>
  <si>
    <t>３歳児配置改善加算</t>
    <rPh sb="1" eb="3">
      <t>サイジ</t>
    </rPh>
    <rPh sb="3" eb="5">
      <t>ハイチ</t>
    </rPh>
    <rPh sb="5" eb="7">
      <t>カイゼン</t>
    </rPh>
    <rPh sb="7" eb="9">
      <t>カサン</t>
    </rPh>
    <phoneticPr fontId="1"/>
  </si>
  <si>
    <t>満3歳児対応加配加算</t>
    <rPh sb="0" eb="1">
      <t>マン</t>
    </rPh>
    <rPh sb="2" eb="4">
      <t>サイジ</t>
    </rPh>
    <rPh sb="4" eb="6">
      <t>タイオウ</t>
    </rPh>
    <rPh sb="6" eb="8">
      <t>カハイ</t>
    </rPh>
    <rPh sb="8" eb="10">
      <t>カサン</t>
    </rPh>
    <phoneticPr fontId="1"/>
  </si>
  <si>
    <t>講師配置加算</t>
    <rPh sb="0" eb="2">
      <t>コウシ</t>
    </rPh>
    <rPh sb="2" eb="4">
      <t>ハイチ</t>
    </rPh>
    <rPh sb="4" eb="6">
      <t>カサン</t>
    </rPh>
    <phoneticPr fontId="1"/>
  </si>
  <si>
    <t>チーム保育加配加算</t>
    <rPh sb="3" eb="5">
      <t>ホイク</t>
    </rPh>
    <rPh sb="5" eb="7">
      <t>カハイ</t>
    </rPh>
    <rPh sb="7" eb="9">
      <t>カサン</t>
    </rPh>
    <phoneticPr fontId="1"/>
  </si>
  <si>
    <t>事務職員配置加算</t>
    <rPh sb="0" eb="2">
      <t>ジム</t>
    </rPh>
    <rPh sb="2" eb="4">
      <t>ショクイン</t>
    </rPh>
    <rPh sb="4" eb="6">
      <t>ハイチ</t>
    </rPh>
    <rPh sb="6" eb="8">
      <t>カサン</t>
    </rPh>
    <phoneticPr fontId="1"/>
  </si>
  <si>
    <t>施設機能強化推進費加算</t>
    <rPh sb="0" eb="2">
      <t>シセツ</t>
    </rPh>
    <rPh sb="2" eb="4">
      <t>キノウ</t>
    </rPh>
    <rPh sb="4" eb="6">
      <t>キョウカ</t>
    </rPh>
    <rPh sb="6" eb="8">
      <t>スイシン</t>
    </rPh>
    <rPh sb="8" eb="9">
      <t>ヒ</t>
    </rPh>
    <rPh sb="9" eb="11">
      <t>カサン</t>
    </rPh>
    <phoneticPr fontId="1"/>
  </si>
  <si>
    <t>高齢者等活躍促進加算</t>
    <rPh sb="0" eb="3">
      <t>コウレイシャ</t>
    </rPh>
    <rPh sb="3" eb="4">
      <t>トウ</t>
    </rPh>
    <rPh sb="4" eb="6">
      <t>カツヤク</t>
    </rPh>
    <rPh sb="6" eb="8">
      <t>ソクシン</t>
    </rPh>
    <rPh sb="8" eb="10">
      <t>カサン</t>
    </rPh>
    <phoneticPr fontId="1"/>
  </si>
  <si>
    <t>判定</t>
    <rPh sb="0" eb="2">
      <t>ハンテイ</t>
    </rPh>
    <phoneticPr fontId="1"/>
  </si>
  <si>
    <t>職員名簿から算出される常勤換算された有効職員数（主幹含む）</t>
    <rPh sb="0" eb="2">
      <t>ショクイン</t>
    </rPh>
    <rPh sb="2" eb="4">
      <t>メイボ</t>
    </rPh>
    <rPh sb="6" eb="8">
      <t>サンシュツ</t>
    </rPh>
    <rPh sb="11" eb="13">
      <t>ジョウキン</t>
    </rPh>
    <rPh sb="13" eb="15">
      <t>カンサン</t>
    </rPh>
    <rPh sb="18" eb="20">
      <t>ユウコウ</t>
    </rPh>
    <rPh sb="20" eb="23">
      <t>ショクインスウ</t>
    </rPh>
    <rPh sb="24" eb="26">
      <t>シュカン</t>
    </rPh>
    <rPh sb="26" eb="27">
      <t>フク</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</si>
  <si>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</si>
  <si>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チーム保育加算人数判定</t>
    <rPh sb="3" eb="5">
      <t>ホイク</t>
    </rPh>
    <rPh sb="5" eb="7">
      <t>カサン</t>
    </rPh>
    <rPh sb="7" eb="9">
      <t>ニンズウ</t>
    </rPh>
    <rPh sb="9" eb="11">
      <t>ハンテイ</t>
    </rPh>
    <phoneticPr fontId="1"/>
  </si>
  <si>
    <t>年齢別配置基準を</t>
    <rPh sb="0" eb="2">
      <t>ネンレイ</t>
    </rPh>
    <rPh sb="2" eb="3">
      <t>ベツ</t>
    </rPh>
    <rPh sb="3" eb="5">
      <t>ハイチ</t>
    </rPh>
    <rPh sb="5" eb="7">
      <t>キジュン</t>
    </rPh>
    <phoneticPr fontId="1"/>
  </si>
  <si>
    <t>〇〇認定こども園</t>
    <rPh sb="2" eb="8">
      <t>ニン</t>
    </rPh>
    <phoneticPr fontId="1"/>
  </si>
  <si>
    <t>１号認定</t>
    <rPh sb="1" eb="2">
      <t>ゴウ</t>
    </rPh>
    <rPh sb="2" eb="4">
      <t>ニンテイ</t>
    </rPh>
    <phoneticPr fontId="1"/>
  </si>
  <si>
    <t>２号認定</t>
    <rPh sb="1" eb="2">
      <t>ゴウ</t>
    </rPh>
    <rPh sb="2" eb="4">
      <t>ニンテイ</t>
    </rPh>
    <phoneticPr fontId="1"/>
  </si>
  <si>
    <t>３号認定</t>
    <rPh sb="1" eb="2">
      <t>ゴウ</t>
    </rPh>
    <rPh sb="2" eb="4">
      <t>ニンテイ</t>
    </rPh>
    <phoneticPr fontId="1"/>
  </si>
  <si>
    <t>Ver.</t>
    <phoneticPr fontId="1"/>
  </si>
  <si>
    <t>Release</t>
    <phoneticPr fontId="1"/>
  </si>
  <si>
    <t>児童名簿：2歳児2号のカウント追加</t>
    <rPh sb="0" eb="2">
      <t>ジドウ</t>
    </rPh>
    <rPh sb="2" eb="4">
      <t>メイボ</t>
    </rPh>
    <rPh sb="6" eb="8">
      <t>サイジ</t>
    </rPh>
    <rPh sb="9" eb="10">
      <t>ゴウ</t>
    </rPh>
    <rPh sb="15" eb="17">
      <t>ツイカ</t>
    </rPh>
    <phoneticPr fontId="1"/>
  </si>
  <si>
    <t>集計表：基本分単価における必要保育教諭等の数を満たしているかどうかの欄追加</t>
    <rPh sb="0" eb="3">
      <t>シュウケイヒョウ</t>
    </rPh>
    <rPh sb="4" eb="9">
      <t>キホンブンタンカ</t>
    </rPh>
    <rPh sb="13" eb="15">
      <t>ヒツヨウ</t>
    </rPh>
    <rPh sb="15" eb="17">
      <t>ホイク</t>
    </rPh>
    <rPh sb="17" eb="19">
      <t>キョウユ</t>
    </rPh>
    <rPh sb="19" eb="20">
      <t>トウ</t>
    </rPh>
    <rPh sb="21" eb="22">
      <t>カズ</t>
    </rPh>
    <rPh sb="23" eb="24">
      <t>ミ</t>
    </rPh>
    <rPh sb="34" eb="35">
      <t>ラン</t>
    </rPh>
    <rPh sb="35" eb="37">
      <t>ツイカ</t>
    </rPh>
    <phoneticPr fontId="1"/>
  </si>
  <si>
    <t>Detail</t>
    <phoneticPr fontId="1"/>
  </si>
  <si>
    <t>①基本情報シートL2_子育て支援の取組み1号「小学校との連携・接続の取組みをしている」をカウントしていなかったので、カウントに入れる</t>
    <rPh sb="1" eb="3">
      <t>キホン</t>
    </rPh>
    <rPh sb="3" eb="5">
      <t>ジョウホウ</t>
    </rPh>
    <rPh sb="11" eb="13">
      <t>コソダ</t>
    </rPh>
    <rPh sb="14" eb="16">
      <t>シエン</t>
    </rPh>
    <rPh sb="17" eb="19">
      <t>トリク</t>
    </rPh>
    <rPh sb="21" eb="22">
      <t>ゴウ</t>
    </rPh>
    <rPh sb="23" eb="26">
      <t>ショウガッコウ</t>
    </rPh>
    <rPh sb="28" eb="30">
      <t>レンケイ</t>
    </rPh>
    <rPh sb="31" eb="33">
      <t>セツゾク</t>
    </rPh>
    <rPh sb="34" eb="36">
      <t>トリク</t>
    </rPh>
    <rPh sb="63" eb="64">
      <t>イ</t>
    </rPh>
    <phoneticPr fontId="1"/>
  </si>
  <si>
    <t>④加算シートP8_療育支援加算の適用不可条件判定で、③職員名簿での「職名（処遇Ⅱ）の入力」を条件から外す（名前入力だけでOK判定）</t>
    <rPh sb="1" eb="3">
      <t>カサン</t>
    </rPh>
    <rPh sb="9" eb="11">
      <t>リョウイク</t>
    </rPh>
    <rPh sb="11" eb="13">
      <t>シエン</t>
    </rPh>
    <rPh sb="13" eb="15">
      <t>カサン</t>
    </rPh>
    <rPh sb="16" eb="18">
      <t>テキヨウ</t>
    </rPh>
    <rPh sb="18" eb="20">
      <t>フカ</t>
    </rPh>
    <rPh sb="20" eb="22">
      <t>ジョウケン</t>
    </rPh>
    <rPh sb="22" eb="24">
      <t>ハンテイ</t>
    </rPh>
    <rPh sb="27" eb="29">
      <t>ショクイン</t>
    </rPh>
    <rPh sb="29" eb="31">
      <t>メイボ</t>
    </rPh>
    <rPh sb="34" eb="36">
      <t>ショクメイ</t>
    </rPh>
    <rPh sb="37" eb="39">
      <t>ショグウ</t>
    </rPh>
    <rPh sb="42" eb="44">
      <t>ニュウリョク</t>
    </rPh>
    <rPh sb="46" eb="48">
      <t>ジョウケン</t>
    </rPh>
    <rPh sb="50" eb="51">
      <t>ハズ</t>
    </rPh>
    <rPh sb="53" eb="55">
      <t>ナマエ</t>
    </rPh>
    <rPh sb="55" eb="57">
      <t>ニュウリョク</t>
    </rPh>
    <rPh sb="62" eb="64">
      <t>ハンテイ</t>
    </rPh>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</si>
  <si>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</si>
  <si>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</si>
  <si>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</si>
  <si>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</si>
  <si>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</si>
  <si>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</si>
  <si>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</si>
  <si>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</si>
  <si>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</si>
  <si>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</si>
  <si>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</si>
  <si>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</si>
  <si>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</si>
  <si>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</si>
  <si>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</si>
  <si>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休日保育加算の選択項目を修正（〇→人数選択）、集計表の表示も修正</t>
    <rPh sb="0" eb="2">
      <t>キュウジツ</t>
    </rPh>
    <rPh sb="2" eb="4">
      <t>ホイク</t>
    </rPh>
    <rPh sb="4" eb="6">
      <t>カサン</t>
    </rPh>
    <rPh sb="7" eb="9">
      <t>センタク</t>
    </rPh>
    <rPh sb="9" eb="11">
      <t>コウモク</t>
    </rPh>
    <rPh sb="12" eb="14">
      <t>シュウセイ</t>
    </rPh>
    <rPh sb="17" eb="19">
      <t>ニンズウ</t>
    </rPh>
    <rPh sb="19" eb="21">
      <t>センタク</t>
    </rPh>
    <rPh sb="23" eb="26">
      <t>シュウケイヒョウ</t>
    </rPh>
    <rPh sb="27" eb="29">
      <t>ヒョウジ</t>
    </rPh>
    <rPh sb="30" eb="32">
      <t>シュウセイ</t>
    </rPh>
    <phoneticPr fontId="1"/>
  </si>
  <si>
    <t>施設送付</t>
    <rPh sb="0" eb="2">
      <t>シセツ</t>
    </rPh>
    <rPh sb="2" eb="4">
      <t>ソウフ</t>
    </rPh>
    <phoneticPr fontId="1"/>
  </si>
  <si>
    <t>各加算の関係性シート_療育支援加算、学級編成調整加配加算、３歳児配置改善加算、満３歳児対応加配加算の条件矢印を修正。栄養管理加算追加。</t>
    <rPh sb="0" eb="1">
      <t>カク</t>
    </rPh>
    <rPh sb="1" eb="3">
      <t>カサン</t>
    </rPh>
    <rPh sb="4" eb="7">
      <t>カンケイセイ</t>
    </rPh>
    <rPh sb="11" eb="13">
      <t>リョウイク</t>
    </rPh>
    <rPh sb="13" eb="15">
      <t>シエン</t>
    </rPh>
    <rPh sb="15" eb="17">
      <t>カサン</t>
    </rPh>
    <rPh sb="18" eb="20">
      <t>ガッキュウ</t>
    </rPh>
    <rPh sb="20" eb="22">
      <t>ヘンセイ</t>
    </rPh>
    <rPh sb="22" eb="24">
      <t>チョウセイ</t>
    </rPh>
    <rPh sb="24" eb="26">
      <t>カハイ</t>
    </rPh>
    <rPh sb="26" eb="28">
      <t>カサン</t>
    </rPh>
    <rPh sb="30" eb="32">
      <t>サイジ</t>
    </rPh>
    <rPh sb="32" eb="34">
      <t>ハイチ</t>
    </rPh>
    <rPh sb="34" eb="36">
      <t>カイゼン</t>
    </rPh>
    <rPh sb="36" eb="38">
      <t>カサン</t>
    </rPh>
    <rPh sb="39" eb="40">
      <t>マン</t>
    </rPh>
    <rPh sb="41" eb="43">
      <t>サイジ</t>
    </rPh>
    <rPh sb="43" eb="45">
      <t>タイオウ</t>
    </rPh>
    <rPh sb="45" eb="47">
      <t>カハイ</t>
    </rPh>
    <rPh sb="47" eb="49">
      <t>カサン</t>
    </rPh>
    <rPh sb="50" eb="52">
      <t>ジョウケン</t>
    </rPh>
    <rPh sb="52" eb="54">
      <t>ヤジルシ</t>
    </rPh>
    <rPh sb="55" eb="57">
      <t>シュウセイ</t>
    </rPh>
    <rPh sb="58" eb="60">
      <t>エイヨウ</t>
    </rPh>
    <rPh sb="60" eb="62">
      <t>カンリ</t>
    </rPh>
    <rPh sb="62" eb="64">
      <t>カサン</t>
    </rPh>
    <rPh sb="64" eb="66">
      <t>ツイカ</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</si>
  <si>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</si>
  <si>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④加算シートK13~M13_加算不可の条件を追加。基本分単価の～を満たさなければ一部加算を適用不可表示にする。</t>
    <rPh sb="1" eb="3">
      <t>カサン</t>
    </rPh>
    <rPh sb="14" eb="16">
      <t>カサン</t>
    </rPh>
    <rPh sb="16" eb="18">
      <t>フカ</t>
    </rPh>
    <rPh sb="19" eb="21">
      <t>ジョウケン</t>
    </rPh>
    <rPh sb="22" eb="24">
      <t>ツイカ</t>
    </rPh>
    <rPh sb="25" eb="27">
      <t>キホン</t>
    </rPh>
    <rPh sb="27" eb="28">
      <t>ブン</t>
    </rPh>
    <rPh sb="28" eb="30">
      <t>タンカ</t>
    </rPh>
    <rPh sb="33" eb="34">
      <t>ミ</t>
    </rPh>
    <rPh sb="40" eb="42">
      <t>イチブ</t>
    </rPh>
    <rPh sb="42" eb="44">
      <t>カサン</t>
    </rPh>
    <rPh sb="45" eb="47">
      <t>テキヨウ</t>
    </rPh>
    <rPh sb="47" eb="49">
      <t>フカ</t>
    </rPh>
    <rPh sb="49" eb="51">
      <t>ヒョウジ</t>
    </rPh>
    <phoneticPr fontId="1"/>
  </si>
  <si>
    <t>⑤集計表シート_入力不可の注釈を追加。</t>
    <rPh sb="1" eb="4">
      <t>シュウケイヒョウ</t>
    </rPh>
    <rPh sb="8" eb="10">
      <t>ニュウリョク</t>
    </rPh>
    <rPh sb="10" eb="12">
      <t>フカ</t>
    </rPh>
    <rPh sb="13" eb="15">
      <t>チュウシャク</t>
    </rPh>
    <rPh sb="16" eb="18">
      <t>ツイカ</t>
    </rPh>
    <phoneticPr fontId="1"/>
  </si>
  <si>
    <t>※この欄に入力された職員は、加算や職員数計算等に影響しません。必要に応じて、施設の備忘用にご使用ください。</t>
    <rPh sb="3" eb="4">
      <t>ラン</t>
    </rPh>
    <rPh sb="5" eb="7">
      <t>ニュウリョク</t>
    </rPh>
    <rPh sb="10" eb="12">
      <t>ショクイン</t>
    </rPh>
    <rPh sb="14" eb="16">
      <t>カサン</t>
    </rPh>
    <rPh sb="17" eb="19">
      <t>ショクイン</t>
    </rPh>
    <rPh sb="19" eb="20">
      <t>スウ</t>
    </rPh>
    <rPh sb="20" eb="22">
      <t>ケイサン</t>
    </rPh>
    <rPh sb="22" eb="23">
      <t>トウ</t>
    </rPh>
    <rPh sb="24" eb="26">
      <t>エイキョウ</t>
    </rPh>
    <rPh sb="31" eb="33">
      <t>ヒツヨウ</t>
    </rPh>
    <rPh sb="34" eb="35">
      <t>オウ</t>
    </rPh>
    <rPh sb="38" eb="40">
      <t>シセツ</t>
    </rPh>
    <rPh sb="41" eb="43">
      <t>ビボウ</t>
    </rPh>
    <rPh sb="43" eb="44">
      <t>ヨウ</t>
    </rPh>
    <rPh sb="46" eb="48">
      <t>シヨウ</t>
    </rPh>
    <phoneticPr fontId="1"/>
  </si>
  <si>
    <t>③職員名簿シートB22~26_加算や職員数計算に影響しない説明を追加。</t>
    <rPh sb="1" eb="3">
      <t>ショクイン</t>
    </rPh>
    <rPh sb="3" eb="5">
      <t>メイボ</t>
    </rPh>
    <rPh sb="15" eb="17">
      <t>カサン</t>
    </rPh>
    <rPh sb="18" eb="21">
      <t>ショクインスウ</t>
    </rPh>
    <rPh sb="21" eb="23">
      <t>ケイサン</t>
    </rPh>
    <rPh sb="24" eb="26">
      <t>エイキョウ</t>
    </rPh>
    <rPh sb="29" eb="31">
      <t>セツメイ</t>
    </rPh>
    <rPh sb="32" eb="34">
      <t>ツイカ</t>
    </rPh>
    <phoneticPr fontId="1"/>
  </si>
  <si>
    <t>③職員名簿シートB8~C15_役職等の条件注釈をコメントに移動。</t>
    <rPh sb="1" eb="3">
      <t>ショクイン</t>
    </rPh>
    <rPh sb="3" eb="5">
      <t>メイボ</t>
    </rPh>
    <rPh sb="15" eb="17">
      <t>ヤクショク</t>
    </rPh>
    <rPh sb="17" eb="18">
      <t>トウ</t>
    </rPh>
    <rPh sb="19" eb="21">
      <t>ジョウケン</t>
    </rPh>
    <rPh sb="21" eb="23">
      <t>チュウシャク</t>
    </rPh>
    <rPh sb="29" eb="31">
      <t>イドウ</t>
    </rPh>
    <phoneticPr fontId="1"/>
  </si>
  <si>
    <t>③職員名簿シート_入力に関する注釈を追加。</t>
    <rPh sb="1" eb="3">
      <t>ショクイン</t>
    </rPh>
    <rPh sb="3" eb="5">
      <t>メイボ</t>
    </rPh>
    <rPh sb="9" eb="11">
      <t>ニュウリョク</t>
    </rPh>
    <rPh sb="12" eb="13">
      <t>カン</t>
    </rPh>
    <rPh sb="15" eb="17">
      <t>チュウシャク</t>
    </rPh>
    <rPh sb="18" eb="20">
      <t>ツイカ</t>
    </rPh>
    <phoneticPr fontId="1"/>
  </si>
  <si>
    <t>④加算シート_【適用不可】表示に関する注釈を追加。</t>
    <rPh sb="1" eb="3">
      <t>カサン</t>
    </rPh>
    <rPh sb="8" eb="10">
      <t>テキヨウ</t>
    </rPh>
    <rPh sb="10" eb="12">
      <t>フカ</t>
    </rPh>
    <rPh sb="13" eb="15">
      <t>ヒョウジ</t>
    </rPh>
    <rPh sb="16" eb="17">
      <t>カン</t>
    </rPh>
    <rPh sb="19" eb="21">
      <t>チュウシャク</t>
    </rPh>
    <rPh sb="22" eb="24">
      <t>ツイカ</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</si>
  <si>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</si>
  <si>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</si>
  <si>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加算対象月→加算等確認対象月へ変更。</t>
    <rPh sb="0" eb="2">
      <t>カサン</t>
    </rPh>
    <rPh sb="2" eb="4">
      <t>タイショウ</t>
    </rPh>
    <rPh sb="4" eb="5">
      <t>ツキ</t>
    </rPh>
    <rPh sb="6" eb="8">
      <t>カサン</t>
    </rPh>
    <rPh sb="8" eb="9">
      <t>トウ</t>
    </rPh>
    <rPh sb="9" eb="11">
      <t>カクニン</t>
    </rPh>
    <rPh sb="11" eb="13">
      <t>タイショウ</t>
    </rPh>
    <rPh sb="13" eb="14">
      <t>ツキ</t>
    </rPh>
    <rPh sb="15" eb="17">
      <t>ヘンコウ</t>
    </rPh>
    <phoneticPr fontId="1"/>
  </si>
  <si>
    <t>①基本情報シートの認可定員欄を1号、2号、3号の合計欄のみに修正。</t>
    <rPh sb="1" eb="3">
      <t>キホン</t>
    </rPh>
    <rPh sb="3" eb="5">
      <t>ジョウホウ</t>
    </rPh>
    <rPh sb="9" eb="11">
      <t>ニンカ</t>
    </rPh>
    <rPh sb="11" eb="13">
      <t>テイイン</t>
    </rPh>
    <rPh sb="13" eb="14">
      <t>ラン</t>
    </rPh>
    <rPh sb="16" eb="17">
      <t>ゴウ</t>
    </rPh>
    <rPh sb="19" eb="20">
      <t>ゴウ</t>
    </rPh>
    <rPh sb="22" eb="23">
      <t>ゴウ</t>
    </rPh>
    <rPh sb="24" eb="26">
      <t>ゴウケイ</t>
    </rPh>
    <rPh sb="26" eb="27">
      <t>ラン</t>
    </rPh>
    <rPh sb="30" eb="32">
      <t>シュウセイ</t>
    </rPh>
    <phoneticPr fontId="1"/>
  </si>
  <si>
    <t>全てのシートの右上にバージョン情報を表示</t>
    <rPh sb="0" eb="1">
      <t>スベ</t>
    </rPh>
    <rPh sb="7" eb="9">
      <t>ミギウエ</t>
    </rPh>
    <rPh sb="15" eb="17">
      <t>ジョウホウ</t>
    </rPh>
    <rPh sb="18" eb="20">
      <t>ヒョウジ</t>
    </rPh>
    <phoneticPr fontId="1"/>
  </si>
  <si>
    <t>　　1号認定（保育を必要とする子ども以外の子どもに係る利用定員）</t>
    <rPh sb="3" eb="4">
      <t>ゴウ</t>
    </rPh>
    <rPh sb="4" eb="6">
      <t>ニンテイ</t>
    </rPh>
    <phoneticPr fontId="1"/>
  </si>
  <si>
    <t>　　2号認定（保育を必要とする子どもに係る利用定員）</t>
    <rPh sb="3" eb="4">
      <t>ゴウ</t>
    </rPh>
    <rPh sb="4" eb="6">
      <t>ニンテイ</t>
    </rPh>
    <phoneticPr fontId="1"/>
  </si>
  <si>
    <t>　　3号認定（保育を必要とする子どもに係る利用定員）</t>
    <rPh sb="3" eb="4">
      <t>ゴウ</t>
    </rPh>
    <rPh sb="4" eb="6">
      <t>ニンテイ</t>
    </rPh>
    <phoneticPr fontId="1"/>
  </si>
  <si>
    <r>
      <t>認可定員</t>
    </r>
    <r>
      <rPr>
        <sz val="9"/>
        <color theme="1"/>
        <rFont val="游ゴシック"/>
        <family val="3"/>
        <charset val="128"/>
        <scheme val="minor"/>
      </rPr>
      <t>（就学前の子どもに関する教育、保育等の総合的な提供の推進に関する法律第4条第1項各号）</t>
    </r>
    <rPh sb="0" eb="2">
      <t>ニンカ</t>
    </rPh>
    <rPh sb="2" eb="4">
      <t>テイイン</t>
    </rPh>
    <rPh sb="5" eb="8">
      <t>シュウガクマエ</t>
    </rPh>
    <rPh sb="9" eb="10">
      <t>コ</t>
    </rPh>
    <rPh sb="13" eb="14">
      <t>カン</t>
    </rPh>
    <rPh sb="16" eb="18">
      <t>キョウイク</t>
    </rPh>
    <rPh sb="19" eb="21">
      <t>ホイク</t>
    </rPh>
    <rPh sb="21" eb="22">
      <t>トウ</t>
    </rPh>
    <rPh sb="23" eb="26">
      <t>ソウゴウテキ</t>
    </rPh>
    <rPh sb="27" eb="29">
      <t>テイキョウ</t>
    </rPh>
    <rPh sb="30" eb="32">
      <t>スイシン</t>
    </rPh>
    <rPh sb="33" eb="34">
      <t>カン</t>
    </rPh>
    <rPh sb="36" eb="38">
      <t>ホウリツ</t>
    </rPh>
    <rPh sb="38" eb="39">
      <t>ダイ</t>
    </rPh>
    <rPh sb="40" eb="41">
      <t>ジョウ</t>
    </rPh>
    <rPh sb="41" eb="42">
      <t>ダイ</t>
    </rPh>
    <rPh sb="43" eb="44">
      <t>コウ</t>
    </rPh>
    <rPh sb="44" eb="46">
      <t>カクゴウ</t>
    </rPh>
    <phoneticPr fontId="1"/>
  </si>
  <si>
    <t>（チーム保育加算用人数）</t>
    <rPh sb="4" eb="6">
      <t>ホイク</t>
    </rPh>
    <rPh sb="6" eb="8">
      <t>カサン</t>
    </rPh>
    <rPh sb="8" eb="9">
      <t>ヨウ</t>
    </rPh>
    <rPh sb="9" eb="11">
      <t>ニンズウ</t>
    </rPh>
    <phoneticPr fontId="1"/>
  </si>
  <si>
    <t>⑤集計表シート_チーム保育加配加算の人数計算の考え方を修正（O37追加）し、注釈を追加。</t>
    <rPh sb="1" eb="4">
      <t>シュウケイヒョウ</t>
    </rPh>
    <rPh sb="11" eb="13">
      <t>ホイク</t>
    </rPh>
    <rPh sb="13" eb="15">
      <t>カハイ</t>
    </rPh>
    <rPh sb="15" eb="17">
      <t>カサン</t>
    </rPh>
    <rPh sb="18" eb="20">
      <t>ニンズウ</t>
    </rPh>
    <rPh sb="20" eb="22">
      <t>ケイサン</t>
    </rPh>
    <rPh sb="23" eb="24">
      <t>カンガ</t>
    </rPh>
    <rPh sb="25" eb="26">
      <t>カタ</t>
    </rPh>
    <rPh sb="27" eb="29">
      <t>シュウセイ</t>
    </rPh>
    <rPh sb="33" eb="35">
      <t>ツイカ</t>
    </rPh>
    <rPh sb="38" eb="40">
      <t>チュウシャク</t>
    </rPh>
    <rPh sb="41" eb="43">
      <t>ツイカ</t>
    </rPh>
    <phoneticPr fontId="1"/>
  </si>
  <si>
    <t>各加算の関係性シート_子育て支援の取組み（２・３号）から施設機能強化加算への矢印を一部曲線に修正。</t>
    <rPh sb="0" eb="1">
      <t>カク</t>
    </rPh>
    <rPh sb="1" eb="3">
      <t>カサン</t>
    </rPh>
    <rPh sb="4" eb="7">
      <t>カンケイセイ</t>
    </rPh>
    <rPh sb="11" eb="13">
      <t>コソダ</t>
    </rPh>
    <rPh sb="14" eb="16">
      <t>シエン</t>
    </rPh>
    <rPh sb="17" eb="19">
      <t>トリクミ</t>
    </rPh>
    <rPh sb="24" eb="25">
      <t>ゴウ</t>
    </rPh>
    <rPh sb="28" eb="30">
      <t>シセツ</t>
    </rPh>
    <rPh sb="30" eb="32">
      <t>キノウ</t>
    </rPh>
    <rPh sb="32" eb="34">
      <t>キョウカ</t>
    </rPh>
    <rPh sb="34" eb="36">
      <t>カサン</t>
    </rPh>
    <rPh sb="38" eb="40">
      <t>ヤジルシ</t>
    </rPh>
    <rPh sb="41" eb="43">
      <t>イチブ</t>
    </rPh>
    <rPh sb="43" eb="45">
      <t>キョクセン</t>
    </rPh>
    <rPh sb="46" eb="48">
      <t>シュウセイ</t>
    </rPh>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</si>
  <si>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</si>
  <si>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</si>
  <si>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⑤集計表シートの「幼稚園型一時預かり」「一般型一時預かり」を、該当する場合にそれぞれ1名ずつ差し引いていたが、どちらかが該当していれば1名のみ引くこととする。（自治体向けFAQ Ver19より）</t>
    <rPh sb="1" eb="3">
      <t>シュウケイ</t>
    </rPh>
    <rPh sb="3" eb="4">
      <t>ヒョウ</t>
    </rPh>
    <rPh sb="9" eb="12">
      <t>ヨウチエン</t>
    </rPh>
    <rPh sb="12" eb="13">
      <t>ガタ</t>
    </rPh>
    <rPh sb="13" eb="15">
      <t>イチジ</t>
    </rPh>
    <rPh sb="15" eb="16">
      <t>アズ</t>
    </rPh>
    <rPh sb="20" eb="22">
      <t>イッパン</t>
    </rPh>
    <rPh sb="22" eb="23">
      <t>カタ</t>
    </rPh>
    <rPh sb="23" eb="25">
      <t>イチジ</t>
    </rPh>
    <rPh sb="25" eb="26">
      <t>アズ</t>
    </rPh>
    <rPh sb="31" eb="33">
      <t>ガイトウ</t>
    </rPh>
    <rPh sb="35" eb="37">
      <t>バアイ</t>
    </rPh>
    <rPh sb="43" eb="44">
      <t>メイ</t>
    </rPh>
    <rPh sb="46" eb="47">
      <t>サ</t>
    </rPh>
    <rPh sb="48" eb="49">
      <t>ヒ</t>
    </rPh>
    <rPh sb="60" eb="62">
      <t>ガイトウ</t>
    </rPh>
    <rPh sb="68" eb="69">
      <t>メイ</t>
    </rPh>
    <rPh sb="71" eb="72">
      <t>ヒ</t>
    </rPh>
    <rPh sb="80" eb="83">
      <t>ジチタイ</t>
    </rPh>
    <rPh sb="83" eb="84">
      <t>ム</t>
    </rPh>
    <phoneticPr fontId="1"/>
  </si>
  <si>
    <t>正式リリース</t>
    <rPh sb="0" eb="2">
      <t>セイシキ</t>
    </rPh>
    <phoneticPr fontId="1"/>
  </si>
  <si>
    <t>令和4年版検討開始</t>
    <rPh sb="0" eb="2">
      <t>レイワ</t>
    </rPh>
    <rPh sb="3" eb="5">
      <t>ネンバン</t>
    </rPh>
    <rPh sb="5" eb="7">
      <t>ケントウ</t>
    </rPh>
    <rPh sb="7" eb="9">
      <t>カイシ</t>
    </rPh>
    <phoneticPr fontId="1"/>
  </si>
  <si>
    <t>総職員数
（実人数）</t>
    <rPh sb="0" eb="1">
      <t>ソウ</t>
    </rPh>
    <rPh sb="1" eb="4">
      <t>ショクインスウ</t>
    </rPh>
    <rPh sb="6" eb="7">
      <t>ジツ</t>
    </rPh>
    <rPh sb="7" eb="9">
      <t>ニンズウ</t>
    </rPh>
    <phoneticPr fontId="1"/>
  </si>
  <si>
    <t>換算対象職員数
（実人数）</t>
    <rPh sb="0" eb="2">
      <t>カンサン</t>
    </rPh>
    <rPh sb="2" eb="4">
      <t>タイショウ</t>
    </rPh>
    <rPh sb="4" eb="6">
      <t>ショクイン</t>
    </rPh>
    <rPh sb="6" eb="7">
      <t>スウ</t>
    </rPh>
    <rPh sb="9" eb="10">
      <t>ジツ</t>
    </rPh>
    <rPh sb="10" eb="12">
      <t>ニンズウ</t>
    </rPh>
    <phoneticPr fontId="1"/>
  </si>
  <si>
    <t>総職員数
（常勤換算値）</t>
    <phoneticPr fontId="1"/>
  </si>
  <si>
    <t>換算対象職員数
（常勤換算値）</t>
    <rPh sb="0" eb="2">
      <t>カンサン</t>
    </rPh>
    <rPh sb="2" eb="4">
      <t>タイショウ</t>
    </rPh>
    <phoneticPr fontId="1"/>
  </si>
  <si>
    <t>事務職員</t>
  </si>
  <si>
    <t>総職員</t>
    <rPh sb="0" eb="1">
      <t>ソウ</t>
    </rPh>
    <rPh sb="1" eb="3">
      <t>ショクイン</t>
    </rPh>
    <phoneticPr fontId="1"/>
  </si>
  <si>
    <t>職員数換算</t>
    <rPh sb="0" eb="3">
      <t>ショクインスウ</t>
    </rPh>
    <rPh sb="3" eb="5">
      <t>カンサン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</si>
  <si>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</si>
  <si>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③職員名簿_障がい児のための加配職員数入力欄追加。</t>
    <rPh sb="1" eb="3">
      <t>ショクイン</t>
    </rPh>
    <rPh sb="3" eb="5">
      <t>メイボ</t>
    </rPh>
    <rPh sb="6" eb="7">
      <t>ショウ</t>
    </rPh>
    <rPh sb="9" eb="10">
      <t>ジ</t>
    </rPh>
    <rPh sb="14" eb="16">
      <t>カハイ</t>
    </rPh>
    <rPh sb="16" eb="19">
      <t>ショクインスウ</t>
    </rPh>
    <rPh sb="19" eb="21">
      <t>ニュウリョク</t>
    </rPh>
    <rPh sb="21" eb="22">
      <t>ラン</t>
    </rPh>
    <rPh sb="22" eb="24">
      <t>ツイカ</t>
    </rPh>
    <phoneticPr fontId="1"/>
  </si>
  <si>
    <r>
      <t>利用定員</t>
    </r>
    <r>
      <rPr>
        <b/>
        <sz val="9"/>
        <color theme="1"/>
        <rFont val="游ゴシック"/>
        <family val="3"/>
        <charset val="128"/>
        <scheme val="minor"/>
      </rPr>
      <t>（認可定員の範囲内で、市と施設との協議で決定します）</t>
    </r>
    <rPh sb="0" eb="2">
      <t>リヨウ</t>
    </rPh>
    <rPh sb="2" eb="4">
      <t>テイイン</t>
    </rPh>
    <rPh sb="5" eb="7">
      <t>ニンカ</t>
    </rPh>
    <rPh sb="7" eb="9">
      <t>テイイン</t>
    </rPh>
    <rPh sb="10" eb="12">
      <t>ハンイ</t>
    </rPh>
    <rPh sb="12" eb="13">
      <t>ナイ</t>
    </rPh>
    <rPh sb="15" eb="16">
      <t>シ</t>
    </rPh>
    <rPh sb="17" eb="19">
      <t>シセツ</t>
    </rPh>
    <rPh sb="21" eb="23">
      <t>キョウギ</t>
    </rPh>
    <rPh sb="24" eb="26">
      <t>ケッテイ</t>
    </rPh>
    <phoneticPr fontId="1"/>
  </si>
  <si>
    <t>プレリリース（4月確認用）</t>
    <rPh sb="8" eb="9">
      <t>ガツ</t>
    </rPh>
    <rPh sb="9" eb="12">
      <t>カクニンヨウ</t>
    </rPh>
    <phoneticPr fontId="1"/>
  </si>
  <si>
    <t>令和5年度用様式作成開始</t>
    <rPh sb="0" eb="2">
      <t>レイワ</t>
    </rPh>
    <rPh sb="3" eb="5">
      <t>ネンド</t>
    </rPh>
    <rPh sb="5" eb="6">
      <t>ヨウ</t>
    </rPh>
    <rPh sb="6" eb="8">
      <t>ヨウシキ</t>
    </rPh>
    <rPh sb="8" eb="10">
      <t>サクセイ</t>
    </rPh>
    <rPh sb="10" eb="12">
      <t>カイシ</t>
    </rPh>
    <phoneticPr fontId="1"/>
  </si>
  <si>
    <t>副園長を年齢別配置基準の算定対象に含める（③④）</t>
    <rPh sb="0" eb="3">
      <t>フクエンチョウ</t>
    </rPh>
    <rPh sb="4" eb="6">
      <t>ネンレイ</t>
    </rPh>
    <rPh sb="6" eb="7">
      <t>ベツ</t>
    </rPh>
    <rPh sb="7" eb="9">
      <t>ハイチ</t>
    </rPh>
    <rPh sb="9" eb="11">
      <t>キジュン</t>
    </rPh>
    <rPh sb="12" eb="14">
      <t>サンテイ</t>
    </rPh>
    <rPh sb="14" eb="16">
      <t>タイショウ</t>
    </rPh>
    <rPh sb="17" eb="18">
      <t>フク</t>
    </rPh>
    <phoneticPr fontId="1"/>
  </si>
  <si>
    <t>　教育・保育給付に係る加算等確認表（認定こども園）</t>
    <phoneticPr fontId="1"/>
  </si>
  <si>
    <t>預かり専任職員</t>
    <rPh sb="0" eb="1">
      <t>アズ</t>
    </rPh>
    <rPh sb="3" eb="5">
      <t>センニン</t>
    </rPh>
    <rPh sb="5" eb="7">
      <t>ショクイン</t>
    </rPh>
    <phoneticPr fontId="1"/>
  </si>
  <si>
    <t>休憩保育職員</t>
    <rPh sb="0" eb="2">
      <t>キュウケイ</t>
    </rPh>
    <rPh sb="2" eb="4">
      <t>ホイク</t>
    </rPh>
    <rPh sb="4" eb="6">
      <t>ショクイン</t>
    </rPh>
    <phoneticPr fontId="1"/>
  </si>
  <si>
    <t>保育標準時間対応職員</t>
    <rPh sb="0" eb="6">
      <t>ホイクヒョウジュンジカン</t>
    </rPh>
    <rPh sb="6" eb="8">
      <t>タイオウ</t>
    </rPh>
    <rPh sb="8" eb="10">
      <t>ショクイン</t>
    </rPh>
    <phoneticPr fontId="1"/>
  </si>
  <si>
    <t>（Ａ）</t>
    <phoneticPr fontId="1"/>
  </si>
  <si>
    <t>（Ｂ）</t>
    <phoneticPr fontId="1"/>
  </si>
  <si>
    <t>（Ｃ）</t>
    <phoneticPr fontId="1"/>
  </si>
  <si>
    <t>（Ｄ）</t>
    <phoneticPr fontId="1"/>
  </si>
  <si>
    <t>（Ｅ）</t>
    <phoneticPr fontId="1"/>
  </si>
  <si>
    <t>対象保育教諭（※１）</t>
    <rPh sb="0" eb="2">
      <t>タイショウ</t>
    </rPh>
    <rPh sb="2" eb="4">
      <t>ホイク</t>
    </rPh>
    <rPh sb="4" eb="6">
      <t>キョウユ</t>
    </rPh>
    <phoneticPr fontId="1"/>
  </si>
  <si>
    <t>年齢別配置基準に必要な保育教諭数（※２）</t>
    <rPh sb="0" eb="2">
      <t>ネンレイ</t>
    </rPh>
    <rPh sb="2" eb="3">
      <t>ベツ</t>
    </rPh>
    <rPh sb="3" eb="5">
      <t>ハイチ</t>
    </rPh>
    <rPh sb="5" eb="7">
      <t>キジュン</t>
    </rPh>
    <rPh sb="8" eb="10">
      <t>ヒツヨウ</t>
    </rPh>
    <rPh sb="11" eb="13">
      <t>ホイク</t>
    </rPh>
    <rPh sb="13" eb="15">
      <t>キョウユ</t>
    </rPh>
    <rPh sb="15" eb="16">
      <t>スウ</t>
    </rPh>
    <phoneticPr fontId="1"/>
  </si>
  <si>
    <t>加配職員として配置できる最大職員数（常勤換算）を算定します。</t>
    <rPh sb="0" eb="2">
      <t>カハイ</t>
    </rPh>
    <rPh sb="2" eb="4">
      <t>ショクイン</t>
    </rPh>
    <rPh sb="7" eb="9">
      <t>ハイチ</t>
    </rPh>
    <rPh sb="12" eb="14">
      <t>サイダイ</t>
    </rPh>
    <rPh sb="14" eb="17">
      <t>ショクインスウ</t>
    </rPh>
    <rPh sb="18" eb="20">
      <t>ジョウキン</t>
    </rPh>
    <rPh sb="20" eb="22">
      <t>カンサン</t>
    </rPh>
    <rPh sb="24" eb="26">
      <t>サンテイ</t>
    </rPh>
    <phoneticPr fontId="1"/>
  </si>
  <si>
    <t>⇒</t>
    <phoneticPr fontId="1"/>
  </si>
  <si>
    <t>加配職員として配置できる最大職員数（常勤換算）</t>
  </si>
  <si>
    <t>（Ｆ）</t>
    <phoneticPr fontId="1"/>
  </si>
  <si>
    <t>（Ｆ）＝（Ａ）－（Ｂ）－（Ｃ）－（Ｄ）－（Ｅ）</t>
    <phoneticPr fontId="1"/>
  </si>
  <si>
    <t>※１　対象保育教諭は、保育に従事する保育教諭・看護師が対象。
　　　ただし、園長、副園長（免許状無し）、調理師や事務職員等保育に従事しな
　　　い職員、所管保育教諭代替職員は対象外とする。
　　　なお、療育支援加算対象職員に充てる職員については、保育士免許が無くて
　　　も対象とする。</t>
    <rPh sb="3" eb="5">
      <t>タイショウ</t>
    </rPh>
    <rPh sb="5" eb="7">
      <t>ホイク</t>
    </rPh>
    <rPh sb="7" eb="9">
      <t>キョウユ</t>
    </rPh>
    <rPh sb="11" eb="13">
      <t>ホイク</t>
    </rPh>
    <rPh sb="14" eb="16">
      <t>ジュウジ</t>
    </rPh>
    <rPh sb="18" eb="20">
      <t>ホイク</t>
    </rPh>
    <rPh sb="20" eb="22">
      <t>キョウユ</t>
    </rPh>
    <rPh sb="23" eb="26">
      <t>カンゴシ</t>
    </rPh>
    <rPh sb="27" eb="29">
      <t>タイショウ</t>
    </rPh>
    <rPh sb="38" eb="40">
      <t>エンチョウ</t>
    </rPh>
    <rPh sb="41" eb="44">
      <t>フクエンチョウ</t>
    </rPh>
    <rPh sb="45" eb="48">
      <t>メンキョジョウ</t>
    </rPh>
    <rPh sb="48" eb="49">
      <t>ナ</t>
    </rPh>
    <rPh sb="52" eb="55">
      <t>チョウリシ</t>
    </rPh>
    <rPh sb="56" eb="58">
      <t>ジム</t>
    </rPh>
    <rPh sb="58" eb="60">
      <t>ショクイン</t>
    </rPh>
    <rPh sb="60" eb="61">
      <t>トウ</t>
    </rPh>
    <rPh sb="61" eb="63">
      <t>ホイク</t>
    </rPh>
    <rPh sb="64" eb="66">
      <t>ジュウジ</t>
    </rPh>
    <rPh sb="73" eb="75">
      <t>ショクイン</t>
    </rPh>
    <rPh sb="76" eb="78">
      <t>ショカン</t>
    </rPh>
    <rPh sb="78" eb="80">
      <t>ホイク</t>
    </rPh>
    <rPh sb="80" eb="82">
      <t>キョウユ</t>
    </rPh>
    <rPh sb="82" eb="84">
      <t>ダイタイ</t>
    </rPh>
    <rPh sb="84" eb="86">
      <t>ショクイン</t>
    </rPh>
    <rPh sb="87" eb="90">
      <t>タイショウガイ</t>
    </rPh>
    <rPh sb="101" eb="103">
      <t>リョウイク</t>
    </rPh>
    <rPh sb="103" eb="105">
      <t>シエン</t>
    </rPh>
    <rPh sb="105" eb="107">
      <t>カサン</t>
    </rPh>
    <rPh sb="107" eb="109">
      <t>タイショウ</t>
    </rPh>
    <rPh sb="109" eb="111">
      <t>ショクイン</t>
    </rPh>
    <rPh sb="112" eb="113">
      <t>ア</t>
    </rPh>
    <rPh sb="115" eb="117">
      <t>ショクイン</t>
    </rPh>
    <rPh sb="123" eb="125">
      <t>ホイク</t>
    </rPh>
    <rPh sb="125" eb="126">
      <t>シ</t>
    </rPh>
    <rPh sb="126" eb="128">
      <t>メンキョ</t>
    </rPh>
    <rPh sb="129" eb="130">
      <t>ナ</t>
    </rPh>
    <rPh sb="137" eb="139">
      <t>タイショウ</t>
    </rPh>
    <phoneticPr fontId="1"/>
  </si>
  <si>
    <t>⑥加配職員判定シートの作成・③職員名簿からの加配職員算定削除</t>
    <rPh sb="1" eb="3">
      <t>カハイ</t>
    </rPh>
    <rPh sb="3" eb="5">
      <t>ショクイン</t>
    </rPh>
    <rPh sb="5" eb="7">
      <t>ハンテイ</t>
    </rPh>
    <rPh sb="11" eb="13">
      <t>サクセイ</t>
    </rPh>
    <rPh sb="15" eb="17">
      <t>ショクイン</t>
    </rPh>
    <rPh sb="17" eb="19">
      <t>メイボ</t>
    </rPh>
    <rPh sb="22" eb="24">
      <t>カハイ</t>
    </rPh>
    <rPh sb="24" eb="26">
      <t>ショクイン</t>
    </rPh>
    <rPh sb="26" eb="28">
      <t>サンテイ</t>
    </rPh>
    <rPh sb="28" eb="30">
      <t>サクジョ</t>
    </rPh>
    <phoneticPr fontId="1"/>
  </si>
  <si>
    <t>障がい児のための
加配職員数</t>
    <rPh sb="0" eb="1">
      <t>ショウ</t>
    </rPh>
    <rPh sb="3" eb="4">
      <t>ジ</t>
    </rPh>
    <rPh sb="9" eb="11">
      <t>カハイ</t>
    </rPh>
    <rPh sb="11" eb="14">
      <t>ショクインスウ</t>
    </rPh>
    <phoneticPr fontId="1"/>
  </si>
  <si>
    <t>常勤</t>
    <rPh sb="0" eb="2">
      <t>ジョウキン</t>
    </rPh>
    <phoneticPr fontId="1"/>
  </si>
  <si>
    <t>非常勤（実人数）</t>
    <rPh sb="0" eb="3">
      <t>ヒジョウキン</t>
    </rPh>
    <rPh sb="4" eb="5">
      <t>ジツ</t>
    </rPh>
    <rPh sb="5" eb="7">
      <t>ニンズウ</t>
    </rPh>
    <phoneticPr fontId="1"/>
  </si>
  <si>
    <t>非常勤（常勤換算）</t>
    <rPh sb="0" eb="3">
      <t>ヒジョウキン</t>
    </rPh>
    <rPh sb="4" eb="6">
      <t>ジョウキン</t>
    </rPh>
    <rPh sb="6" eb="8">
      <t>カンサン</t>
    </rPh>
    <phoneticPr fontId="1"/>
  </si>
  <si>
    <r>
      <t>※1号認定の加配児童</t>
    </r>
    <r>
      <rPr>
        <b/>
        <sz val="9"/>
        <color theme="1"/>
        <rFont val="游ゴシック"/>
        <family val="3"/>
        <charset val="128"/>
        <scheme val="minor"/>
      </rPr>
      <t>専任</t>
    </r>
    <r>
      <rPr>
        <sz val="9"/>
        <color theme="1"/>
        <rFont val="游ゴシック"/>
        <family val="3"/>
        <charset val="128"/>
        <scheme val="minor"/>
      </rPr>
      <t>の職員がいる場合は、上記の内数として入力してください。（常勤換算後の数値）</t>
    </r>
    <rPh sb="2" eb="3">
      <t>ゴウ</t>
    </rPh>
    <rPh sb="3" eb="5">
      <t>ニンテイ</t>
    </rPh>
    <rPh sb="6" eb="8">
      <t>カハイ</t>
    </rPh>
    <rPh sb="8" eb="10">
      <t>ジドウ</t>
    </rPh>
    <rPh sb="10" eb="12">
      <t>センニン</t>
    </rPh>
    <rPh sb="13" eb="15">
      <t>ショクイン</t>
    </rPh>
    <rPh sb="18" eb="20">
      <t>バアイ</t>
    </rPh>
    <rPh sb="22" eb="24">
      <t>ジョウキ</t>
    </rPh>
    <rPh sb="25" eb="27">
      <t>ウチスウ</t>
    </rPh>
    <rPh sb="30" eb="32">
      <t>ニュウリョク</t>
    </rPh>
    <rPh sb="40" eb="42">
      <t>ジョウキン</t>
    </rPh>
    <rPh sb="42" eb="44">
      <t>カンサン</t>
    </rPh>
    <rPh sb="44" eb="45">
      <t>ゴ</t>
    </rPh>
    <rPh sb="46" eb="48">
      <t>スウチ</t>
    </rPh>
    <phoneticPr fontId="1"/>
  </si>
  <si>
    <t>←（自動計算）</t>
    <rPh sb="2" eb="4">
      <t>ジドウ</t>
    </rPh>
    <rPh sb="4" eb="6">
      <t>ケイサン</t>
    </rPh>
    <phoneticPr fontId="1"/>
  </si>
  <si>
    <t>【👇入力してください】</t>
    <rPh sb="3" eb="5">
      <t>ニュウリョク</t>
    </rPh>
    <phoneticPr fontId="1"/>
  </si>
  <si>
    <t>⑥に加配職員数設問追加</t>
    <rPh sb="2" eb="4">
      <t>カハイ</t>
    </rPh>
    <rPh sb="4" eb="7">
      <t>ショクインスウ</t>
    </rPh>
    <rPh sb="7" eb="9">
      <t>セツモン</t>
    </rPh>
    <rPh sb="9" eb="11">
      <t>ツイカ</t>
    </rPh>
    <phoneticPr fontId="1"/>
  </si>
  <si>
    <t>プレリリース</t>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</si>
  <si>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</si>
  <si>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</si>
  <si>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</si>
  <si>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</si>
  <si>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</si>
  <si>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③職員名簿　兼務状況追加</t>
    <rPh sb="1" eb="3">
      <t>ショクイン</t>
    </rPh>
    <rPh sb="3" eb="5">
      <t>メイボ</t>
    </rPh>
    <rPh sb="6" eb="8">
      <t>ケンム</t>
    </rPh>
    <rPh sb="8" eb="10">
      <t>ジョウキョウ</t>
    </rPh>
    <rPh sb="10" eb="12">
      <t>ツイカ</t>
    </rPh>
    <phoneticPr fontId="1"/>
  </si>
  <si>
    <t>※チーム保育加配加算との併給は不可</t>
    <rPh sb="4" eb="6">
      <t>ホイク</t>
    </rPh>
    <rPh sb="6" eb="8">
      <t>カハイ</t>
    </rPh>
    <rPh sb="8" eb="10">
      <t>カサン</t>
    </rPh>
    <rPh sb="12" eb="14">
      <t>ヘイキュウ</t>
    </rPh>
    <rPh sb="15" eb="17">
      <t>フカ</t>
    </rPh>
    <phoneticPr fontId="1"/>
  </si>
  <si>
    <t>4歳以上児配置改善加算</t>
    <rPh sb="1" eb="4">
      <t>サイイジョウ</t>
    </rPh>
    <rPh sb="4" eb="5">
      <t>ジ</t>
    </rPh>
    <rPh sb="5" eb="7">
      <t>ハイチ</t>
    </rPh>
    <rPh sb="7" eb="9">
      <t>カイゼン</t>
    </rPh>
    <rPh sb="9" eb="11">
      <t>カサン</t>
    </rPh>
    <phoneticPr fontId="1"/>
  </si>
  <si>
    <t>4以上配置</t>
    <rPh sb="1" eb="3">
      <t>イジョウ</t>
    </rPh>
    <rPh sb="3" eb="5">
      <t>ハイチ</t>
    </rPh>
    <phoneticPr fontId="1"/>
  </si>
  <si>
    <t>４歳以上児配置改善加算セット</t>
    <rPh sb="1" eb="11">
      <t>サイイジョウジハイチカイゼンカサン</t>
    </rPh>
    <phoneticPr fontId="1"/>
  </si>
  <si>
    <t>法根拠は留意事項発出後に再チェック</t>
    <rPh sb="0" eb="1">
      <t>ホウ</t>
    </rPh>
    <rPh sb="1" eb="3">
      <t>コンキョ</t>
    </rPh>
    <rPh sb="4" eb="6">
      <t>リュウイ</t>
    </rPh>
    <rPh sb="6" eb="8">
      <t>ジコウ</t>
    </rPh>
    <rPh sb="8" eb="10">
      <t>ハッシュツ</t>
    </rPh>
    <rPh sb="10" eb="11">
      <t>ゴ</t>
    </rPh>
    <rPh sb="12" eb="13">
      <t>サイ</t>
    </rPh>
    <phoneticPr fontId="1"/>
  </si>
  <si>
    <t>（例）入力時削除してください</t>
    <rPh sb="1" eb="2">
      <t>レイ</t>
    </rPh>
    <rPh sb="3" eb="6">
      <t>ニュウリョクジ</t>
    </rPh>
    <rPh sb="6" eb="8">
      <t>サクジョ</t>
    </rPh>
    <phoneticPr fontId="1"/>
  </si>
  <si>
    <t>２号認定</t>
  </si>
  <si>
    <t>標準時間</t>
  </si>
  <si>
    <t>①子育て支援の取組み（主幹専任化要件）に連携研修要件を追加</t>
    <rPh sb="20" eb="22">
      <t>レンケイ</t>
    </rPh>
    <rPh sb="22" eb="24">
      <t>ケンシュウ</t>
    </rPh>
    <rPh sb="24" eb="26">
      <t>ヨウケン</t>
    </rPh>
    <rPh sb="27" eb="29">
      <t>ツイカ</t>
    </rPh>
    <phoneticPr fontId="1"/>
  </si>
  <si>
    <t>連携園内研修</t>
    <rPh sb="0" eb="2">
      <t>レンケイ</t>
    </rPh>
    <rPh sb="2" eb="4">
      <t>エンナイ</t>
    </rPh>
    <rPh sb="4" eb="6">
      <t>ケンシュウ</t>
    </rPh>
    <phoneticPr fontId="1"/>
  </si>
  <si>
    <t>教育委員会等と連携し、園内研修を企画・実施している</t>
    <rPh sb="0" eb="2">
      <t>キョウイク</t>
    </rPh>
    <rPh sb="2" eb="5">
      <t>イインカイ</t>
    </rPh>
    <rPh sb="5" eb="6">
      <t>トウ</t>
    </rPh>
    <rPh sb="7" eb="9">
      <t>レンケイ</t>
    </rPh>
    <rPh sb="11" eb="12">
      <t>エン</t>
    </rPh>
    <rPh sb="12" eb="13">
      <t>ナイ</t>
    </rPh>
    <rPh sb="13" eb="15">
      <t>ケンシュウ</t>
    </rPh>
    <rPh sb="16" eb="18">
      <t>キカク</t>
    </rPh>
    <rPh sb="19" eb="21">
      <t>ジッシ</t>
    </rPh>
    <phoneticPr fontId="1"/>
  </si>
  <si>
    <t>災害時における地域支援の取組</t>
    <rPh sb="0" eb="2">
      <t>サイガイ</t>
    </rPh>
    <rPh sb="2" eb="3">
      <t>ジ</t>
    </rPh>
    <rPh sb="7" eb="9">
      <t>チイキ</t>
    </rPh>
    <rPh sb="9" eb="11">
      <t>シエン</t>
    </rPh>
    <rPh sb="12" eb="14">
      <t>トリク</t>
    </rPh>
    <phoneticPr fontId="1"/>
  </si>
  <si>
    <t>年</t>
    <rPh sb="0" eb="1">
      <t>ネン</t>
    </rPh>
    <phoneticPr fontId="1"/>
  </si>
  <si>
    <r>
      <t>職員</t>
    </r>
    <r>
      <rPr>
        <sz val="8"/>
        <color theme="1"/>
        <rFont val="游ゴシック"/>
        <family val="3"/>
        <charset val="128"/>
        <scheme val="minor"/>
      </rPr>
      <t>※</t>
    </r>
    <r>
      <rPr>
        <sz val="11"/>
        <color theme="1"/>
        <rFont val="游ゴシック"/>
        <family val="2"/>
        <charset val="128"/>
        <scheme val="minor"/>
      </rPr>
      <t>の平均経験年数</t>
    </r>
    <rPh sb="0" eb="2">
      <t>ショクイン</t>
    </rPh>
    <rPh sb="4" eb="6">
      <t>ヘイキン</t>
    </rPh>
    <rPh sb="6" eb="8">
      <t>ケイケン</t>
    </rPh>
    <rPh sb="8" eb="10">
      <t>ネンスウ</t>
    </rPh>
    <phoneticPr fontId="1"/>
  </si>
  <si>
    <t>ICTの活用（1歳児配置改善）</t>
    <rPh sb="4" eb="6">
      <t>カツヨウ</t>
    </rPh>
    <rPh sb="8" eb="10">
      <t>サイジ</t>
    </rPh>
    <rPh sb="10" eb="12">
      <t>ハイチ</t>
    </rPh>
    <rPh sb="12" eb="14">
      <t>カイゼン</t>
    </rPh>
    <phoneticPr fontId="1"/>
  </si>
  <si>
    <t>※1日6時間以上かつ月20日以上勤務する職員</t>
    <rPh sb="2" eb="3">
      <t>ニチ</t>
    </rPh>
    <rPh sb="4" eb="8">
      <t>ジカンイジョウ</t>
    </rPh>
    <rPh sb="10" eb="11">
      <t>ツキ</t>
    </rPh>
    <rPh sb="13" eb="14">
      <t>ニチ</t>
    </rPh>
    <rPh sb="14" eb="16">
      <t>イジョウ</t>
    </rPh>
    <rPh sb="16" eb="18">
      <t>キンム</t>
    </rPh>
    <rPh sb="20" eb="22">
      <t>ショクイン</t>
    </rPh>
    <phoneticPr fontId="1"/>
  </si>
  <si>
    <t>ICT活用</t>
    <rPh sb="3" eb="5">
      <t>カツヨウ</t>
    </rPh>
    <phoneticPr fontId="1"/>
  </si>
  <si>
    <t>①登校園管理</t>
    <rPh sb="1" eb="3">
      <t>トウコウ</t>
    </rPh>
    <rPh sb="3" eb="4">
      <t>エン</t>
    </rPh>
    <rPh sb="4" eb="6">
      <t>カンリ</t>
    </rPh>
    <phoneticPr fontId="1"/>
  </si>
  <si>
    <t>②計画・記録</t>
    <rPh sb="1" eb="3">
      <t>ケイカク</t>
    </rPh>
    <rPh sb="4" eb="6">
      <t>キロク</t>
    </rPh>
    <phoneticPr fontId="1"/>
  </si>
  <si>
    <t>③保護者連絡</t>
    <rPh sb="1" eb="4">
      <t>ホゴシャ</t>
    </rPh>
    <rPh sb="4" eb="6">
      <t>レンラク</t>
    </rPh>
    <phoneticPr fontId="1"/>
  </si>
  <si>
    <t>④キャッシュレス決済</t>
    <rPh sb="8" eb="10">
      <t>ケッサイ</t>
    </rPh>
    <phoneticPr fontId="1"/>
  </si>
  <si>
    <t>取組み①</t>
    <rPh sb="0" eb="2">
      <t>トリク</t>
    </rPh>
    <phoneticPr fontId="1"/>
  </si>
  <si>
    <t>取組み②</t>
    <rPh sb="0" eb="2">
      <t>トリク</t>
    </rPh>
    <phoneticPr fontId="1"/>
  </si>
  <si>
    <t>判定</t>
    <rPh sb="0" eb="2">
      <t>ハンテイ</t>
    </rPh>
    <phoneticPr fontId="1"/>
  </si>
  <si>
    <t>1歳児配置改善加算</t>
    <rPh sb="1" eb="3">
      <t>サイジ</t>
    </rPh>
    <rPh sb="3" eb="5">
      <t>ハイチ</t>
    </rPh>
    <rPh sb="5" eb="7">
      <t>カイゼン</t>
    </rPh>
    <rPh sb="7" eb="9">
      <t>カサン</t>
    </rPh>
    <phoneticPr fontId="1"/>
  </si>
  <si>
    <t>1歳児</t>
    <rPh sb="1" eb="3">
      <t>サイジ</t>
    </rPh>
    <phoneticPr fontId="1"/>
  </si>
  <si>
    <t>1歳配置</t>
    <rPh sb="1" eb="2">
      <t>サイ</t>
    </rPh>
    <rPh sb="2" eb="4">
      <t>ハイチ</t>
    </rPh>
    <phoneticPr fontId="1"/>
  </si>
  <si>
    <t>災害時地域支援</t>
    <rPh sb="0" eb="2">
      <t>サイガイ</t>
    </rPh>
    <rPh sb="2" eb="3">
      <t>ジ</t>
    </rPh>
    <rPh sb="3" eb="5">
      <t>チイキ</t>
    </rPh>
    <rPh sb="5" eb="7">
      <t>シエン</t>
    </rPh>
    <phoneticPr fontId="1"/>
  </si>
  <si>
    <t>※２　年齢別配置基準の計算に、1歳児及び3歳児配置改善加算は加味しない。</t>
    <rPh sb="3" eb="5">
      <t>ネンレイ</t>
    </rPh>
    <rPh sb="5" eb="6">
      <t>ベツ</t>
    </rPh>
    <rPh sb="6" eb="8">
      <t>ハイチ</t>
    </rPh>
    <rPh sb="8" eb="10">
      <t>キジュン</t>
    </rPh>
    <rPh sb="11" eb="13">
      <t>ケイサン</t>
    </rPh>
    <rPh sb="16" eb="17">
      <t>サイ</t>
    </rPh>
    <rPh sb="17" eb="18">
      <t>ジ</t>
    </rPh>
    <rPh sb="18" eb="19">
      <t>オヨ</t>
    </rPh>
    <rPh sb="21" eb="23">
      <t>サイジ</t>
    </rPh>
    <rPh sb="23" eb="25">
      <t>ハイチ</t>
    </rPh>
    <rPh sb="25" eb="27">
      <t>カイゼン</t>
    </rPh>
    <rPh sb="27" eb="29">
      <t>カサン</t>
    </rPh>
    <rPh sb="30" eb="32">
      <t>カミ</t>
    </rPh>
    <phoneticPr fontId="1"/>
  </si>
  <si>
    <t>プレリリース（4月調査用）</t>
    <rPh sb="8" eb="9">
      <t>ガツ</t>
    </rPh>
    <rPh sb="9" eb="11">
      <t>チョウサ</t>
    </rPh>
    <rPh sb="11" eb="12">
      <t>ヨウ</t>
    </rPh>
    <phoneticPr fontId="1"/>
  </si>
  <si>
    <t>令和7年度変更点追加。１歳児配置改善加算、子育て支援の取組み</t>
    <phoneticPr fontId="1"/>
  </si>
  <si>
    <r>
      <t xml:space="preserve">職名
</t>
    </r>
    <r>
      <rPr>
        <sz val="6"/>
        <color theme="1"/>
        <rFont val="游ゴシック"/>
        <family val="3"/>
        <charset val="128"/>
        <scheme val="minor"/>
      </rPr>
      <t>（処遇改善等加算区分３）</t>
    </r>
    <rPh sb="0" eb="2">
      <t>ショクメイ</t>
    </rPh>
    <rPh sb="4" eb="6">
      <t>ショグウ</t>
    </rPh>
    <rPh sb="6" eb="8">
      <t>カイゼン</t>
    </rPh>
    <rPh sb="8" eb="9">
      <t>トウ</t>
    </rPh>
    <rPh sb="9" eb="11">
      <t>カサン</t>
    </rPh>
    <rPh sb="11" eb="13">
      <t>クブン</t>
    </rPh>
    <phoneticPr fontId="1"/>
  </si>
  <si>
    <t>処遇改善等加算（区分１及び区分２）</t>
    <rPh sb="0" eb="2">
      <t>ショグウ</t>
    </rPh>
    <rPh sb="2" eb="4">
      <t>カイゼン</t>
    </rPh>
    <rPh sb="4" eb="5">
      <t>トウ</t>
    </rPh>
    <rPh sb="5" eb="7">
      <t>カサン</t>
    </rPh>
    <rPh sb="8" eb="10">
      <t>クブン</t>
    </rPh>
    <rPh sb="11" eb="12">
      <t>オヨ</t>
    </rPh>
    <rPh sb="13" eb="15">
      <t>クブン</t>
    </rPh>
    <phoneticPr fontId="1"/>
  </si>
  <si>
    <t>栄養管理加算</t>
    <phoneticPr fontId="1"/>
  </si>
  <si>
    <t>処遇（区分３）</t>
    <rPh sb="0" eb="2">
      <t>ショグウ</t>
    </rPh>
    <rPh sb="3" eb="5">
      <t>クブン</t>
    </rPh>
    <phoneticPr fontId="1"/>
  </si>
  <si>
    <t>処遇改善等加算（区分３）</t>
    <rPh sb="0" eb="2">
      <t>ショグウ</t>
    </rPh>
    <rPh sb="2" eb="4">
      <t>カイゼン</t>
    </rPh>
    <rPh sb="4" eb="5">
      <t>トウ</t>
    </rPh>
    <rPh sb="5" eb="7">
      <t>カサン</t>
    </rPh>
    <rPh sb="8" eb="10">
      <t>クブン</t>
    </rPh>
    <phoneticPr fontId="1"/>
  </si>
  <si>
    <t>処遇（区分１・２）</t>
    <rPh sb="0" eb="2">
      <t>ショグウ</t>
    </rPh>
    <rPh sb="3" eb="5">
      <t>クブン</t>
    </rPh>
    <phoneticPr fontId="1"/>
  </si>
  <si>
    <t>リリース（加算適用申請依頼）</t>
    <rPh sb="5" eb="7">
      <t>カサン</t>
    </rPh>
    <rPh sb="7" eb="9">
      <t>テキヨウ</t>
    </rPh>
    <rPh sb="9" eb="11">
      <t>シンセイ</t>
    </rPh>
    <rPh sb="11" eb="13">
      <t>イライ</t>
    </rPh>
    <phoneticPr fontId="1"/>
  </si>
  <si>
    <t>処遇改善等加算の修正、参考の更新</t>
    <rPh sb="0" eb="2">
      <t>ショグウ</t>
    </rPh>
    <rPh sb="2" eb="4">
      <t>カイゼン</t>
    </rPh>
    <rPh sb="4" eb="5">
      <t>トウ</t>
    </rPh>
    <rPh sb="5" eb="7">
      <t>カサン</t>
    </rPh>
    <rPh sb="8" eb="10">
      <t>シュウセイ</t>
    </rPh>
    <rPh sb="11" eb="13">
      <t>サンコウ</t>
    </rPh>
    <rPh sb="14" eb="16">
      <t>コウシン</t>
    </rPh>
    <phoneticPr fontId="1"/>
  </si>
  <si>
    <t>※初日時点で就労している職員が対象</t>
    <rPh sb="1" eb="3">
      <t>ショニチ</t>
    </rPh>
    <rPh sb="3" eb="5">
      <t>ジテン</t>
    </rPh>
    <rPh sb="6" eb="8">
      <t>シュウロウ</t>
    </rPh>
    <rPh sb="12" eb="14">
      <t>ショクイン</t>
    </rPh>
    <rPh sb="15" eb="17">
      <t>タイショウ</t>
    </rPh>
    <phoneticPr fontId="1"/>
  </si>
  <si>
    <t>※育休・療養休暇等の長期休暇取得中の職員は対象外</t>
    <rPh sb="1" eb="3">
      <t>イクキュウ</t>
    </rPh>
    <rPh sb="4" eb="6">
      <t>リョウヨウ</t>
    </rPh>
    <rPh sb="6" eb="8">
      <t>キュウカ</t>
    </rPh>
    <rPh sb="8" eb="9">
      <t>ナド</t>
    </rPh>
    <rPh sb="10" eb="12">
      <t>チョウキ</t>
    </rPh>
    <rPh sb="12" eb="14">
      <t>キュウカ</t>
    </rPh>
    <rPh sb="14" eb="16">
      <t>シュトク</t>
    </rPh>
    <rPh sb="16" eb="17">
      <t>チュウ</t>
    </rPh>
    <rPh sb="18" eb="20">
      <t>ショクイン</t>
    </rPh>
    <rPh sb="21" eb="24">
      <t>タイショウガイ</t>
    </rPh>
    <phoneticPr fontId="1"/>
  </si>
  <si>
    <t>令和7年度　職員配置と各加算の関係性</t>
    <rPh sb="0" eb="2">
      <t>レイワ</t>
    </rPh>
    <rPh sb="3" eb="5">
      <t>ネンド</t>
    </rPh>
    <rPh sb="6" eb="8">
      <t>ショクイン</t>
    </rPh>
    <rPh sb="8" eb="10">
      <t>ハイチ</t>
    </rPh>
    <rPh sb="11" eb="12">
      <t>カク</t>
    </rPh>
    <rPh sb="12" eb="14">
      <t>カサン</t>
    </rPh>
    <rPh sb="15" eb="18">
      <t>カンケイセイ</t>
    </rPh>
    <phoneticPr fontId="1"/>
  </si>
  <si>
    <t>高齢者等活躍促進加算判定用</t>
    <rPh sb="0" eb="3">
      <t>コウレイシャ</t>
    </rPh>
    <rPh sb="3" eb="4">
      <t>トウ</t>
    </rPh>
    <rPh sb="4" eb="6">
      <t>カツヤク</t>
    </rPh>
    <rPh sb="6" eb="8">
      <t>ソクシン</t>
    </rPh>
    <rPh sb="8" eb="10">
      <t>カサン</t>
    </rPh>
    <rPh sb="10" eb="13">
      <t>ハンテイヨウ</t>
    </rPh>
    <phoneticPr fontId="1"/>
  </si>
  <si>
    <t>月の平均利用人数が1人以上</t>
    <rPh sb="0" eb="1">
      <t>ツキ</t>
    </rPh>
    <rPh sb="2" eb="4">
      <t>ヘイキン</t>
    </rPh>
    <rPh sb="4" eb="6">
      <t>リヨウ</t>
    </rPh>
    <rPh sb="6" eb="8">
      <t>ニンズウ</t>
    </rPh>
    <rPh sb="9" eb="11">
      <t>ヒトリ</t>
    </rPh>
    <rPh sb="11" eb="13">
      <t>イジョウ</t>
    </rPh>
    <phoneticPr fontId="1"/>
  </si>
  <si>
    <t>R7年度　特定教育・保育施設等における職員配置の考え方</t>
    <rPh sb="2" eb="4">
      <t>ネンド</t>
    </rPh>
    <rPh sb="5" eb="9">
      <t>トクテイキョウイク</t>
    </rPh>
    <rPh sb="10" eb="15">
      <t>ホイクシセツナド</t>
    </rPh>
    <rPh sb="19" eb="21">
      <t>ショクイン</t>
    </rPh>
    <rPh sb="21" eb="23">
      <t>ハイチ</t>
    </rPh>
    <rPh sb="24" eb="25">
      <t>カンガ</t>
    </rPh>
    <rPh sb="26" eb="27">
      <t>カタ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</si>
</sst>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411]ggge&quot;年&quot;m&quot;月&quot;"/>
    <numFmt numFmtId="178" formatCode="0.0"/>
    <numFmt numFmtId="179" formatCode="0.0_ "/>
    <numFmt numFmtId="180" formatCode="&quot;Ver &quot;0.00"/>
    <numFmt numFmtId="181" formatCode="0.00_ "/>
    <numFmt numFmtId="182" formatCode="0&quot;人&quot;"/>
    <numFmt numFmtId="183" formatCode="0.0&quot;人&quot;"/>
  </numFmts>
  <fonts count="44">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9"/>
      <name val="游ゴシック"/>
      <family val="2"/>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8"/>
      <color rgb="FFFF0000"/>
      <name val="游ゴシック"/>
      <family val="2"/>
      <charset val="128"/>
      <scheme val="minor"/>
    </font>
    <font>
      <sz val="8"/>
      <color theme="0" tint="-0.499984740745262"/>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b/>
      <sz val="8"/>
      <color indexed="17"/>
      <name val="MS P ゴシック"/>
      <family val="3"/>
      <charset val="128"/>
    </font>
    <font>
      <b/>
      <sz val="11"/>
      <color indexed="17"/>
      <name val="MS P ゴシック"/>
      <family val="3"/>
      <charset val="128"/>
    </font>
    <font>
      <b/>
      <sz val="9"/>
      <color indexed="17"/>
      <name val="MS P ゴシック"/>
      <family val="3"/>
      <charset val="128"/>
    </font>
    <font>
      <sz val="16"/>
      <color rgb="FFFF0000"/>
      <name val="游ゴシック"/>
      <family val="2"/>
      <charset val="128"/>
      <scheme val="minor"/>
    </font>
    <font>
      <sz val="11"/>
      <color theme="1"/>
      <name val="Century"/>
      <family val="1"/>
    </font>
    <font>
      <sz val="6"/>
      <color theme="1"/>
      <name val="Century"/>
      <family val="1"/>
    </font>
    <font>
      <sz val="9"/>
      <color rgb="FFFF0000"/>
      <name val="游ゴシック"/>
      <family val="2"/>
      <charset val="128"/>
      <scheme val="minor"/>
    </font>
    <font>
      <sz val="4"/>
      <color theme="1"/>
      <name val="游ゴシック"/>
      <family val="2"/>
      <charset val="128"/>
      <scheme val="minor"/>
    </font>
    <font>
      <b/>
      <sz val="11"/>
      <color theme="1"/>
      <name val="游ゴシック"/>
      <family val="3"/>
      <charset val="128"/>
      <scheme val="minor"/>
    </font>
    <font>
      <sz val="12"/>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dotted">
        <color indexed="64"/>
      </top>
      <bottom style="dotted">
        <color indexed="64"/>
      </bottom>
      <diagonal/>
    </border>
    <border>
      <left/>
      <right/>
      <top style="dotted">
        <color indexed="64"/>
      </top>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432">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0" fillId="5" borderId="6" xfId="0" applyFill="1" applyBorder="1">
      <alignment vertical="center"/>
    </xf>
    <xf numFmtId="0" fontId="0" fillId="5" borderId="3"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6" xfId="0" applyFill="1" applyBorder="1" applyAlignment="1">
      <alignment horizontal="center"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13"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5" borderId="6" xfId="0" applyFont="1" applyFill="1" applyBorder="1" applyAlignment="1">
      <alignment horizontal="center" vertical="center" shrinkToFit="1"/>
    </xf>
    <xf numFmtId="0" fontId="7" fillId="6" borderId="2" xfId="0" applyFont="1" applyFill="1" applyBorder="1" applyAlignment="1">
      <alignment horizontal="center" vertical="center" shrinkToFit="1"/>
    </xf>
    <xf numFmtId="0" fontId="7" fillId="6" borderId="18"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3" borderId="2" xfId="0" applyFont="1" applyFill="1" applyBorder="1" applyAlignment="1">
      <alignment horizontal="center" vertical="center"/>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4" borderId="18" xfId="0" applyFill="1" applyBorder="1" applyAlignment="1">
      <alignment horizontal="center" vertical="center" shrinkToFit="1"/>
    </xf>
    <xf numFmtId="0" fontId="0" fillId="0" borderId="0" xfId="0" applyFill="1" applyBorder="1" applyAlignment="1">
      <alignment horizontal="center" vertical="center"/>
    </xf>
    <xf numFmtId="0" fontId="6" fillId="6" borderId="6" xfId="0" applyFont="1" applyFill="1" applyBorder="1" applyAlignment="1">
      <alignment horizontal="center" vertical="center" shrinkToFit="1"/>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0" fillId="0" borderId="18" xfId="0" applyBorder="1">
      <alignment vertical="center"/>
    </xf>
    <xf numFmtId="0" fontId="2" fillId="0" borderId="0" xfId="0" applyFont="1" applyAlignment="1">
      <alignment horizontal="center" vertical="center"/>
    </xf>
    <xf numFmtId="10" fontId="12" fillId="0" borderId="2" xfId="1" applyNumberFormat="1" applyFont="1" applyFill="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5" fillId="3" borderId="2" xfId="0" applyNumberFormat="1" applyFont="1" applyFill="1" applyBorder="1" applyAlignment="1">
      <alignment horizontal="center" vertical="center"/>
    </xf>
    <xf numFmtId="179" fontId="15" fillId="6" borderId="2" xfId="0" applyNumberFormat="1" applyFont="1" applyFill="1" applyBorder="1" applyAlignment="1">
      <alignment horizontal="center" vertical="center"/>
    </xf>
    <xf numFmtId="0" fontId="16" fillId="0" borderId="0" xfId="0" applyFont="1" applyAlignment="1">
      <alignment horizontal="center" vertical="center"/>
    </xf>
    <xf numFmtId="177" fontId="0" fillId="3" borderId="0" xfId="0" applyNumberFormat="1" applyFill="1" applyBorder="1"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pplyAlignment="1">
      <alignment horizontal="center" vertical="center"/>
    </xf>
    <xf numFmtId="0" fontId="5" fillId="0" borderId="34" xfId="0" applyFont="1" applyBorder="1" applyAlignment="1">
      <alignment horizontal="right" vertical="center"/>
    </xf>
    <xf numFmtId="0" fontId="5" fillId="0" borderId="34" xfId="0" applyFont="1" applyFill="1" applyBorder="1">
      <alignment vertical="center"/>
    </xf>
    <xf numFmtId="0" fontId="5" fillId="0" borderId="34" xfId="0" applyFont="1" applyFill="1" applyBorder="1" applyAlignment="1">
      <alignment horizontal="center" vertical="center"/>
    </xf>
    <xf numFmtId="0" fontId="5" fillId="0" borderId="34" xfId="0" applyFont="1" applyFill="1" applyBorder="1" applyAlignment="1">
      <alignment horizontal="right" vertical="center"/>
    </xf>
    <xf numFmtId="0" fontId="2" fillId="0" borderId="35" xfId="0" applyFont="1" applyBorder="1">
      <alignment vertical="center"/>
    </xf>
    <xf numFmtId="0" fontId="14" fillId="6" borderId="1" xfId="0" applyFont="1" applyFill="1" applyBorder="1" applyAlignment="1">
      <alignment horizontal="center" vertical="center" wrapText="1" shrinkToFit="1"/>
    </xf>
    <xf numFmtId="0" fontId="0" fillId="2" borderId="21" xfId="0" applyFill="1" applyBorder="1">
      <alignment vertical="center"/>
    </xf>
    <xf numFmtId="0" fontId="0" fillId="2" borderId="36" xfId="0" applyFill="1" applyBorder="1">
      <alignment vertical="center"/>
    </xf>
    <xf numFmtId="0" fontId="0" fillId="2" borderId="37" xfId="0" applyFill="1" applyBorder="1">
      <alignment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8" fillId="4" borderId="1" xfId="0" applyFont="1" applyFill="1" applyBorder="1" applyAlignment="1">
      <alignment horizontal="center" vertical="center" wrapText="1"/>
    </xf>
    <xf numFmtId="0" fontId="19" fillId="0" borderId="0" xfId="0" applyFont="1" applyFill="1" applyBorder="1" applyAlignment="1">
      <alignment horizontal="center" vertical="center" shrinkToFit="1"/>
    </xf>
    <xf numFmtId="0" fontId="20" fillId="5" borderId="13" xfId="0" applyFont="1" applyFill="1" applyBorder="1" applyAlignment="1">
      <alignment horizontal="center" vertical="center"/>
    </xf>
    <xf numFmtId="0" fontId="5" fillId="4" borderId="1" xfId="0" applyFont="1" applyFill="1" applyBorder="1" applyAlignment="1">
      <alignment horizontal="center" vertical="center"/>
    </xf>
    <xf numFmtId="0" fontId="18" fillId="0" borderId="0" xfId="0" applyFont="1" applyAlignment="1">
      <alignment horizontal="right" vertical="center"/>
    </xf>
    <xf numFmtId="0" fontId="2" fillId="3" borderId="1" xfId="0" applyFont="1" applyFill="1" applyBorder="1" applyAlignment="1">
      <alignment horizontal="center" vertical="center"/>
    </xf>
    <xf numFmtId="178" fontId="15" fillId="0" borderId="22" xfId="0" applyNumberFormat="1" applyFont="1" applyFill="1" applyBorder="1" applyAlignment="1">
      <alignment horizontal="center" vertical="center"/>
    </xf>
    <xf numFmtId="0" fontId="13" fillId="0" borderId="29" xfId="0" applyFont="1" applyBorder="1" applyAlignment="1">
      <alignment vertical="top" wrapText="1"/>
    </xf>
    <xf numFmtId="0" fontId="5" fillId="0" borderId="0" xfId="0" applyFont="1" applyBorder="1" applyAlignment="1">
      <alignment vertical="center" shrinkToFit="1"/>
    </xf>
    <xf numFmtId="0" fontId="7" fillId="3" borderId="1" xfId="0" applyFont="1" applyFill="1" applyBorder="1" applyAlignment="1">
      <alignment horizontal="center"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27" fillId="0" borderId="0" xfId="0" applyFont="1" applyAlignment="1">
      <alignment horizontal="right" vertical="center"/>
    </xf>
    <xf numFmtId="0" fontId="2" fillId="0" borderId="0" xfId="0" applyFont="1" applyFill="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28"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9"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31" fillId="5" borderId="2" xfId="0" applyFont="1" applyFill="1" applyBorder="1" applyAlignment="1">
      <alignment horizontal="center" vertical="center"/>
    </xf>
    <xf numFmtId="0" fontId="31" fillId="0" borderId="1" xfId="0" applyFont="1" applyBorder="1" applyAlignment="1">
      <alignment horizontal="center" vertical="center"/>
    </xf>
    <xf numFmtId="0" fontId="6" fillId="0" borderId="0" xfId="0" applyFont="1" applyAlignment="1">
      <alignment vertical="center"/>
    </xf>
    <xf numFmtId="0" fontId="0" fillId="4" borderId="16" xfId="0" applyFill="1" applyBorder="1" applyAlignment="1">
      <alignment horizontal="center" vertical="center"/>
    </xf>
    <xf numFmtId="0" fontId="0" fillId="4" borderId="16" xfId="0" applyFill="1" applyBorder="1">
      <alignment vertical="center"/>
    </xf>
    <xf numFmtId="180" fontId="36" fillId="0" borderId="0" xfId="0" applyNumberFormat="1" applyFont="1">
      <alignment vertical="center"/>
    </xf>
    <xf numFmtId="180" fontId="37" fillId="0" borderId="0" xfId="0" applyNumberFormat="1" applyFont="1">
      <alignment vertical="center"/>
    </xf>
    <xf numFmtId="0" fontId="0" fillId="5" borderId="43" xfId="0" applyFill="1" applyBorder="1">
      <alignment vertical="center"/>
    </xf>
    <xf numFmtId="0" fontId="0" fillId="5" borderId="44" xfId="0" applyFill="1" applyBorder="1">
      <alignment vertical="center"/>
    </xf>
    <xf numFmtId="0" fontId="0" fillId="5" borderId="45" xfId="0" applyFill="1" applyBorder="1">
      <alignment vertical="center"/>
    </xf>
    <xf numFmtId="0" fontId="0" fillId="9" borderId="13" xfId="0" applyFill="1" applyBorder="1">
      <alignment vertical="center"/>
    </xf>
    <xf numFmtId="0" fontId="38" fillId="0" borderId="0" xfId="0" applyFont="1" applyAlignment="1">
      <alignment horizontal="center" vertical="center"/>
    </xf>
    <xf numFmtId="178" fontId="2" fillId="0" borderId="0" xfId="0" applyNumberFormat="1" applyFont="1" applyAlignment="1">
      <alignment horizontal="center" vertical="center"/>
    </xf>
    <xf numFmtId="0" fontId="39" fillId="0" borderId="0" xfId="0" applyFont="1" applyAlignment="1">
      <alignment horizontal="center" vertical="top"/>
    </xf>
    <xf numFmtId="0" fontId="0" fillId="6" borderId="10" xfId="0" applyFill="1" applyBorder="1">
      <alignment vertical="center"/>
    </xf>
    <xf numFmtId="0" fontId="0" fillId="6" borderId="38" xfId="0" applyFill="1" applyBorder="1">
      <alignment vertical="center"/>
    </xf>
    <xf numFmtId="0" fontId="0" fillId="6" borderId="2" xfId="0" applyFill="1" applyBorder="1">
      <alignment vertical="center"/>
    </xf>
    <xf numFmtId="0" fontId="0" fillId="6" borderId="5" xfId="0" applyFill="1" applyBorder="1">
      <alignment vertical="center"/>
    </xf>
    <xf numFmtId="0" fontId="0" fillId="6" borderId="8" xfId="0" applyFill="1" applyBorder="1">
      <alignment vertical="center"/>
    </xf>
    <xf numFmtId="0" fontId="13" fillId="5" borderId="6" xfId="0" applyFont="1" applyFill="1" applyBorder="1" applyAlignment="1">
      <alignment horizontal="center" vertical="center" wrapText="1" shrinkToFit="1"/>
    </xf>
    <xf numFmtId="181" fontId="0" fillId="0" borderId="1" xfId="0" applyNumberFormat="1" applyBorder="1">
      <alignment vertical="center"/>
    </xf>
    <xf numFmtId="0" fontId="0" fillId="0" borderId="1" xfId="0" applyBorder="1" applyAlignment="1">
      <alignment vertical="center" wrapText="1"/>
    </xf>
    <xf numFmtId="0" fontId="0" fillId="0" borderId="0" xfId="0" applyFill="1">
      <alignment vertical="center"/>
    </xf>
    <xf numFmtId="176" fontId="0" fillId="0" borderId="0" xfId="0" applyNumberFormat="1" applyFill="1" applyBorder="1" applyAlignment="1">
      <alignment horizontal="center" vertical="center"/>
    </xf>
    <xf numFmtId="182" fontId="0" fillId="0" borderId="0" xfId="0" applyNumberFormat="1" applyFill="1" applyBorder="1" applyAlignment="1">
      <alignment horizontal="center" vertical="center"/>
    </xf>
    <xf numFmtId="0" fontId="0" fillId="0" borderId="0" xfId="0" applyFill="1" applyBorder="1" applyAlignment="1">
      <alignment horizontal="center" vertical="center" shrinkToFit="1"/>
    </xf>
    <xf numFmtId="183" fontId="0" fillId="0" borderId="0" xfId="0" applyNumberFormat="1" applyFill="1" applyBorder="1" applyAlignment="1">
      <alignment horizontal="center" vertical="center"/>
    </xf>
    <xf numFmtId="0" fontId="19" fillId="0" borderId="0" xfId="0" applyFont="1" applyFill="1" applyBorder="1" applyAlignment="1">
      <alignment horizontal="center" vertical="center" wrapText="1" shrinkToFit="1"/>
    </xf>
    <xf numFmtId="0" fontId="0" fillId="0" borderId="0" xfId="0" applyBorder="1" applyAlignment="1">
      <alignment vertical="center" shrinkToFi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19" fillId="0" borderId="47"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83" fontId="0" fillId="0" borderId="25" xfId="0" applyNumberFormat="1" applyFill="1" applyBorder="1" applyAlignment="1">
      <alignment horizontal="center" vertical="center"/>
    </xf>
    <xf numFmtId="0" fontId="20"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183" fontId="0" fillId="0" borderId="18" xfId="0" applyNumberFormat="1" applyFill="1" applyBorder="1" applyAlignment="1">
      <alignment horizontal="center" vertical="center"/>
    </xf>
    <xf numFmtId="0" fontId="40" fillId="0" borderId="0" xfId="0" applyFont="1">
      <alignment vertical="center"/>
    </xf>
    <xf numFmtId="0" fontId="0" fillId="8" borderId="0" xfId="0" applyFill="1" applyAlignment="1">
      <alignment vertical="center" wrapText="1"/>
    </xf>
    <xf numFmtId="0" fontId="0" fillId="4" borderId="1" xfId="0" applyFill="1"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0" xfId="0" applyAlignment="1">
      <alignment horizontal="center" vertical="center"/>
    </xf>
    <xf numFmtId="0" fontId="13" fillId="4" borderId="1" xfId="0" applyFont="1" applyFill="1" applyBorder="1" applyAlignment="1">
      <alignment horizontal="center" vertical="center" wrapText="1"/>
    </xf>
    <xf numFmtId="0" fontId="7" fillId="5" borderId="6" xfId="0" applyFont="1" applyFill="1" applyBorder="1" applyAlignment="1">
      <alignment vertical="center" shrinkToFit="1"/>
    </xf>
    <xf numFmtId="0" fontId="7" fillId="4" borderId="0" xfId="0" applyFont="1" applyFill="1" applyBorder="1" applyAlignment="1">
      <alignment horizontal="center" vertical="center"/>
    </xf>
    <xf numFmtId="0" fontId="7" fillId="5" borderId="0" xfId="0" applyFont="1" applyFill="1" applyBorder="1" applyAlignment="1">
      <alignment vertical="center"/>
    </xf>
    <xf numFmtId="0" fontId="7" fillId="5" borderId="0"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2" fillId="0" borderId="4" xfId="0" applyFont="1" applyBorder="1" applyAlignment="1">
      <alignment horizontal="center" vertical="center"/>
    </xf>
    <xf numFmtId="0" fontId="0" fillId="0" borderId="46" xfId="0" applyBorder="1" applyAlignment="1">
      <alignment horizontal="center" vertical="center"/>
    </xf>
    <xf numFmtId="178" fontId="5" fillId="0" borderId="6" xfId="0" applyNumberFormat="1" applyFont="1" applyBorder="1" applyAlignment="1">
      <alignment horizontal="center" vertical="center"/>
    </xf>
    <xf numFmtId="179" fontId="0" fillId="0" borderId="2" xfId="0" applyNumberFormat="1" applyBorder="1">
      <alignment vertical="center"/>
    </xf>
    <xf numFmtId="0" fontId="5" fillId="0" borderId="48" xfId="0" applyFont="1" applyFill="1" applyBorder="1">
      <alignment vertical="center"/>
    </xf>
    <xf numFmtId="0" fontId="0" fillId="0" borderId="49" xfId="0" applyFill="1" applyBorder="1">
      <alignment vertical="center"/>
    </xf>
    <xf numFmtId="0" fontId="0" fillId="0" borderId="50" xfId="0" applyFill="1" applyBorder="1">
      <alignment vertical="center"/>
    </xf>
    <xf numFmtId="0" fontId="0" fillId="0" borderId="32" xfId="0" applyBorder="1">
      <alignment vertical="center"/>
    </xf>
    <xf numFmtId="0" fontId="2" fillId="0" borderId="22" xfId="0" applyFont="1" applyBorder="1" applyAlignment="1">
      <alignment horizontal="center" vertical="center"/>
    </xf>
    <xf numFmtId="0" fontId="0" fillId="0" borderId="34" xfId="0" applyBorder="1">
      <alignment vertical="center"/>
    </xf>
    <xf numFmtId="0" fontId="0" fillId="0" borderId="35" xfId="0" applyBorder="1">
      <alignment vertical="center"/>
    </xf>
    <xf numFmtId="0" fontId="4" fillId="0" borderId="0" xfId="0" applyFont="1" applyAlignment="1">
      <alignment horizontal="left" vertical="center"/>
    </xf>
    <xf numFmtId="0" fontId="42" fillId="0" borderId="0" xfId="0" applyFont="1" applyAlignment="1">
      <alignment horizontal="left" vertical="center"/>
    </xf>
    <xf numFmtId="0" fontId="43" fillId="0" borderId="0" xfId="0" applyFont="1">
      <alignment vertical="center"/>
    </xf>
    <xf numFmtId="0" fontId="43" fillId="0" borderId="0" xfId="0" applyFont="1" applyFill="1" applyBorder="1" applyAlignment="1">
      <alignment horizontal="center" vertical="center"/>
    </xf>
    <xf numFmtId="0" fontId="0" fillId="0" borderId="0" xfId="0" applyFill="1" applyAlignment="1">
      <alignment horizontal="center" vertical="center"/>
    </xf>
    <xf numFmtId="0" fontId="41" fillId="0" borderId="0" xfId="0" applyFont="1" applyFill="1" applyBorder="1" applyAlignment="1">
      <alignment horizontal="left" vertical="center"/>
    </xf>
    <xf numFmtId="183" fontId="0" fillId="0" borderId="0" xfId="0" applyNumberFormat="1">
      <alignment vertical="center"/>
    </xf>
    <xf numFmtId="183" fontId="41" fillId="0" borderId="0" xfId="0" applyNumberFormat="1" applyFont="1" applyFill="1" applyBorder="1" applyAlignment="1">
      <alignment horizontal="right" vertical="center"/>
    </xf>
    <xf numFmtId="0" fontId="19" fillId="3" borderId="1" xfId="0" applyFont="1" applyFill="1" applyBorder="1" applyAlignment="1">
      <alignment horizontal="center" vertical="center"/>
    </xf>
    <xf numFmtId="178" fontId="19" fillId="3" borderId="1" xfId="0" applyNumberFormat="1" applyFont="1" applyFill="1" applyBorder="1" applyAlignment="1">
      <alignment horizontal="center" vertical="center"/>
    </xf>
    <xf numFmtId="178" fontId="19" fillId="0" borderId="1" xfId="0" applyNumberFormat="1" applyFont="1" applyFill="1" applyBorder="1" applyAlignment="1">
      <alignment horizontal="center" vertical="center"/>
    </xf>
    <xf numFmtId="183" fontId="42" fillId="0" borderId="2" xfId="0" applyNumberFormat="1" applyFont="1" applyBorder="1">
      <alignment vertical="center"/>
    </xf>
    <xf numFmtId="0" fontId="0" fillId="0" borderId="51" xfId="0" applyFill="1" applyBorder="1" applyAlignment="1">
      <alignment horizontal="center" vertical="center" shrinkToFit="1"/>
    </xf>
    <xf numFmtId="0" fontId="23" fillId="0" borderId="0" xfId="0" applyFont="1" applyBorder="1" applyAlignment="1">
      <alignment vertical="center" shrinkToFit="1"/>
    </xf>
    <xf numFmtId="0" fontId="0" fillId="0" borderId="53" xfId="0" applyFill="1" applyBorder="1" applyAlignment="1">
      <alignment horizontal="center" vertical="center" shrinkToFit="1"/>
    </xf>
    <xf numFmtId="0" fontId="19" fillId="0" borderId="54" xfId="0" applyFont="1" applyBorder="1" applyAlignment="1">
      <alignment horizontal="center" vertical="center" wrapText="1"/>
    </xf>
    <xf numFmtId="0" fontId="19" fillId="0" borderId="55" xfId="0" applyFont="1" applyBorder="1" applyAlignment="1">
      <alignment horizontal="center" vertical="center" wrapText="1"/>
    </xf>
    <xf numFmtId="0" fontId="19" fillId="0" borderId="32" xfId="0" applyFont="1" applyBorder="1" applyAlignment="1">
      <alignment horizontal="center" vertical="center"/>
    </xf>
    <xf numFmtId="0" fontId="19" fillId="0" borderId="58" xfId="0" applyFont="1" applyBorder="1" applyAlignment="1">
      <alignment horizontal="center" vertical="center"/>
    </xf>
    <xf numFmtId="179" fontId="0" fillId="4" borderId="53" xfId="0" applyNumberFormat="1" applyFill="1" applyBorder="1" applyAlignment="1">
      <alignment vertical="center" shrinkToFit="1"/>
    </xf>
    <xf numFmtId="179" fontId="0" fillId="4" borderId="51" xfId="0" applyNumberFormat="1" applyFill="1" applyBorder="1" applyAlignment="1">
      <alignment vertical="center" shrinkToFit="1"/>
    </xf>
    <xf numFmtId="179" fontId="0" fillId="4" borderId="52" xfId="0" applyNumberFormat="1" applyFill="1" applyBorder="1" applyAlignment="1">
      <alignment vertical="center"/>
    </xf>
    <xf numFmtId="179" fontId="0" fillId="4" borderId="57" xfId="0" applyNumberFormat="1" applyFill="1" applyBorder="1" applyAlignment="1">
      <alignment vertical="center"/>
    </xf>
    <xf numFmtId="0" fontId="0" fillId="0" borderId="0" xfId="0" applyAlignment="1">
      <alignment horizontal="center" vertical="center"/>
    </xf>
    <xf numFmtId="0" fontId="3" fillId="0" borderId="0" xfId="0" applyFont="1" applyBorder="1" applyAlignment="1">
      <alignment horizontal="center" vertical="center"/>
    </xf>
    <xf numFmtId="0" fontId="7" fillId="0" borderId="0" xfId="0" applyFont="1" applyFill="1" applyBorder="1" applyAlignment="1">
      <alignment vertical="center" shrinkToFit="1"/>
    </xf>
    <xf numFmtId="0" fontId="7" fillId="5" borderId="1" xfId="0" applyFont="1" applyFill="1" applyBorder="1" applyAlignment="1">
      <alignment vertical="center" shrinkToFit="1"/>
    </xf>
    <xf numFmtId="0" fontId="2" fillId="0" borderId="39" xfId="0" applyFont="1" applyFill="1" applyBorder="1" applyAlignment="1">
      <alignment horizontal="center" vertical="center"/>
    </xf>
    <xf numFmtId="0" fontId="7" fillId="0" borderId="39" xfId="0" applyFont="1" applyFill="1" applyBorder="1" applyAlignment="1">
      <alignment vertical="center" wrapText="1"/>
    </xf>
    <xf numFmtId="0" fontId="7" fillId="0" borderId="0" xfId="0" applyFont="1" applyFill="1" applyBorder="1" applyAlignment="1">
      <alignment vertical="center" wrapText="1"/>
    </xf>
    <xf numFmtId="0" fontId="7" fillId="0" borderId="39" xfId="0" applyFont="1" applyFill="1" applyBorder="1" applyAlignment="1">
      <alignment vertical="center" shrinkToFit="1"/>
    </xf>
    <xf numFmtId="0" fontId="2" fillId="4" borderId="16" xfId="0" applyFont="1" applyFill="1" applyBorder="1" applyAlignment="1">
      <alignment horizontal="center" vertical="center"/>
    </xf>
    <xf numFmtId="0" fontId="6" fillId="6" borderId="16" xfId="0" applyFont="1" applyFill="1" applyBorder="1" applyAlignment="1">
      <alignment horizontal="center" vertical="center" shrinkToFit="1"/>
    </xf>
    <xf numFmtId="0" fontId="7" fillId="6" borderId="16" xfId="0" applyFont="1" applyFill="1" applyBorder="1" applyAlignment="1">
      <alignment horizontal="center" vertical="center" shrinkToFit="1"/>
    </xf>
    <xf numFmtId="0" fontId="6" fillId="6" borderId="47" xfId="0" applyFont="1" applyFill="1" applyBorder="1" applyAlignment="1">
      <alignment horizontal="center" vertical="center" shrinkToFit="1"/>
    </xf>
    <xf numFmtId="0" fontId="7" fillId="5" borderId="16" xfId="0" applyFont="1" applyFill="1" applyBorder="1" applyAlignment="1">
      <alignment horizontal="center" vertical="center" shrinkToFit="1"/>
    </xf>
    <xf numFmtId="0" fontId="7" fillId="5" borderId="16" xfId="0" applyFont="1" applyFill="1" applyBorder="1" applyAlignment="1">
      <alignment horizontal="center" vertical="center"/>
    </xf>
    <xf numFmtId="0" fontId="7" fillId="5" borderId="15" xfId="0" applyFont="1" applyFill="1" applyBorder="1" applyAlignment="1">
      <alignment horizontal="center" vertical="center" shrinkToFit="1"/>
    </xf>
    <xf numFmtId="0" fontId="7" fillId="5" borderId="59" xfId="0" applyFont="1" applyFill="1" applyBorder="1" applyAlignment="1">
      <alignment vertical="center" shrinkToFit="1"/>
    </xf>
    <xf numFmtId="0" fontId="13" fillId="4" borderId="18" xfId="0" applyFont="1" applyFill="1" applyBorder="1" applyAlignment="1">
      <alignment horizontal="center" vertical="center" wrapText="1" shrinkToFit="1"/>
    </xf>
    <xf numFmtId="0" fontId="18" fillId="0" borderId="0" xfId="0" applyFont="1">
      <alignment vertical="center"/>
    </xf>
    <xf numFmtId="0" fontId="23" fillId="5" borderId="18" xfId="0" applyFont="1" applyFill="1" applyBorder="1" applyAlignment="1">
      <alignment horizontal="center" vertical="center" shrinkToFit="1"/>
    </xf>
    <xf numFmtId="0" fontId="23" fillId="5" borderId="60" xfId="0" applyFont="1" applyFill="1" applyBorder="1" applyAlignment="1">
      <alignment horizontal="center" vertical="center" shrinkToFit="1"/>
    </xf>
    <xf numFmtId="0" fontId="23" fillId="5" borderId="17" xfId="0" applyFont="1" applyFill="1" applyBorder="1" applyAlignment="1">
      <alignment horizontal="center" vertical="center" shrinkToFit="1"/>
    </xf>
    <xf numFmtId="0" fontId="23" fillId="5" borderId="61" xfId="0" applyFont="1" applyFill="1" applyBorder="1" applyAlignment="1">
      <alignment horizontal="center" vertical="center" shrinkToFit="1"/>
    </xf>
    <xf numFmtId="0" fontId="7" fillId="5" borderId="3" xfId="0" applyFont="1" applyFill="1" applyBorder="1" applyAlignment="1">
      <alignment vertical="center" shrinkToFit="1"/>
    </xf>
    <xf numFmtId="180" fontId="37" fillId="0" borderId="0" xfId="0" applyNumberFormat="1" applyFont="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5" borderId="3" xfId="0" applyFont="1" applyFill="1" applyBorder="1" applyAlignment="1">
      <alignment horizontal="center" vertical="center" shrinkToFit="1"/>
    </xf>
    <xf numFmtId="0" fontId="18" fillId="0" borderId="0" xfId="0" applyFont="1" applyFill="1" applyBorder="1" applyAlignment="1">
      <alignment horizontal="center" vertical="center" shrinkToFit="1"/>
    </xf>
    <xf numFmtId="0" fontId="16" fillId="4" borderId="21" xfId="0" applyFont="1" applyFill="1" applyBorder="1" applyAlignment="1">
      <alignment horizontal="center" vertical="center" shrinkToFit="1"/>
    </xf>
    <xf numFmtId="0" fontId="2" fillId="3" borderId="16" xfId="0" applyFont="1" applyFill="1" applyBorder="1" applyAlignment="1">
      <alignment horizontal="center" vertical="center"/>
    </xf>
    <xf numFmtId="0" fontId="5" fillId="4" borderId="1" xfId="0" applyFont="1" applyFill="1" applyBorder="1" applyAlignment="1">
      <alignment horizontal="center" vertical="center"/>
    </xf>
    <xf numFmtId="0" fontId="24" fillId="0" borderId="39" xfId="0" applyFont="1" applyBorder="1" applyAlignment="1">
      <alignment horizontal="left" vertical="top" wrapText="1"/>
    </xf>
    <xf numFmtId="0" fontId="24" fillId="0" borderId="0" xfId="0" applyFont="1" applyAlignment="1">
      <alignment horizontal="left" vertical="top" wrapText="1"/>
    </xf>
    <xf numFmtId="0" fontId="7" fillId="6" borderId="24" xfId="0" applyFont="1" applyFill="1" applyBorder="1" applyAlignment="1">
      <alignment horizontal="center" vertical="center" shrinkToFit="1"/>
    </xf>
    <xf numFmtId="0" fontId="7" fillId="5" borderId="47" xfId="0" applyFont="1" applyFill="1" applyBorder="1" applyAlignment="1">
      <alignment horizontal="center" vertical="center" shrinkToFit="1"/>
    </xf>
    <xf numFmtId="0" fontId="7" fillId="6" borderId="25" xfId="0" applyFont="1" applyFill="1" applyBorder="1" applyAlignment="1">
      <alignment horizontal="center" vertical="center" shrinkToFit="1"/>
    </xf>
    <xf numFmtId="0" fontId="5" fillId="6" borderId="1" xfId="0" applyFont="1" applyFill="1" applyBorder="1" applyAlignment="1">
      <alignment horizontal="center" vertical="center" shrinkToFit="1"/>
    </xf>
    <xf numFmtId="0" fontId="0" fillId="0" borderId="0" xfId="0" applyAlignment="1">
      <alignment horizontal="center" vertical="center"/>
    </xf>
    <xf numFmtId="0" fontId="5" fillId="6" borderId="1" xfId="0" applyFont="1" applyFill="1" applyBorder="1" applyAlignment="1">
      <alignment horizontal="center" vertical="center" shrinkToFit="1"/>
    </xf>
    <xf numFmtId="0" fontId="5" fillId="4" borderId="1" xfId="0" applyFont="1" applyFill="1" applyBorder="1" applyAlignment="1">
      <alignment horizontal="center" vertical="center"/>
    </xf>
    <xf numFmtId="0" fontId="0" fillId="5" borderId="2" xfId="0" applyFill="1" applyBorder="1" applyAlignment="1">
      <alignment horizontal="center" vertical="center" shrinkToFit="1"/>
    </xf>
    <xf numFmtId="0" fontId="7" fillId="4" borderId="1" xfId="0" applyFont="1" applyFill="1" applyBorder="1" applyAlignment="1">
      <alignment horizontal="center" vertical="center" shrinkToFit="1"/>
    </xf>
    <xf numFmtId="0" fontId="0" fillId="5" borderId="12" xfId="0" applyNumberFormat="1" applyFill="1" applyBorder="1" applyAlignment="1">
      <alignment horizontal="center" vertical="center"/>
    </xf>
    <xf numFmtId="0" fontId="5" fillId="4" borderId="1" xfId="0" applyFont="1" applyFill="1" applyBorder="1" applyAlignment="1">
      <alignment horizontal="center" vertical="center"/>
    </xf>
    <xf numFmtId="0" fontId="5" fillId="4" borderId="1" xfId="0" applyFont="1" applyFill="1" applyBorder="1" applyAlignment="1">
      <alignment horizontal="center" vertical="center" shrinkToFit="1"/>
    </xf>
    <xf numFmtId="0" fontId="5" fillId="4" borderId="1" xfId="0" applyFont="1" applyFill="1" applyBorder="1" applyAlignment="1">
      <alignment horizontal="center" vertical="center"/>
    </xf>
    <xf numFmtId="0" fontId="0" fillId="0" borderId="22" xfId="0" applyNumberFormat="1" applyFill="1" applyBorder="1" applyAlignment="1">
      <alignment vertical="center"/>
    </xf>
    <xf numFmtId="0" fontId="2" fillId="0" borderId="1" xfId="0" applyFont="1" applyBorder="1">
      <alignment vertical="center"/>
    </xf>
    <xf numFmtId="0" fontId="5" fillId="0" borderId="1" xfId="0" applyFont="1" applyBorder="1">
      <alignment vertical="center"/>
    </xf>
    <xf numFmtId="0" fontId="2" fillId="0" borderId="49" xfId="0" applyFont="1" applyBorder="1">
      <alignment vertical="center"/>
    </xf>
    <xf numFmtId="0" fontId="0" fillId="0" borderId="1" xfId="0" applyBorder="1" applyAlignment="1">
      <alignment vertical="center" shrinkToFit="1"/>
    </xf>
    <xf numFmtId="0" fontId="5" fillId="4" borderId="1" xfId="0" applyFont="1" applyFill="1" applyBorder="1" applyAlignment="1">
      <alignment horizontal="center" vertical="center" shrinkToFit="1"/>
    </xf>
    <xf numFmtId="0" fontId="2" fillId="0" borderId="39" xfId="0" applyFont="1" applyBorder="1" applyAlignment="1">
      <alignment horizontal="center" vertical="center"/>
    </xf>
    <xf numFmtId="0" fontId="2" fillId="0" borderId="34" xfId="0" applyFont="1" applyBorder="1">
      <alignment vertical="center"/>
    </xf>
    <xf numFmtId="17" fontId="0" fillId="0" borderId="1" xfId="0" applyNumberFormat="1" applyBorder="1">
      <alignment vertical="center"/>
    </xf>
    <xf numFmtId="178" fontId="5" fillId="0" borderId="1" xfId="0" applyNumberFormat="1" applyFont="1" applyBorder="1" applyAlignment="1">
      <alignment horizontal="center" vertical="center"/>
    </xf>
    <xf numFmtId="0" fontId="7" fillId="5" borderId="1" xfId="0" applyFont="1" applyFill="1" applyBorder="1" applyAlignment="1">
      <alignment horizontal="center" vertical="center" wrapText="1" shrinkToFit="1"/>
    </xf>
    <xf numFmtId="0" fontId="5" fillId="4" borderId="1" xfId="0" applyFont="1" applyFill="1" applyBorder="1" applyAlignment="1">
      <alignment horizontal="center" vertical="center" shrinkToFit="1"/>
    </xf>
    <xf numFmtId="0" fontId="0" fillId="0" borderId="0" xfId="0" applyAlignment="1">
      <alignment horizontal="center" vertical="center"/>
    </xf>
    <xf numFmtId="0" fontId="5" fillId="4" borderId="1" xfId="0" applyFont="1" applyFill="1" applyBorder="1" applyAlignment="1">
      <alignment horizontal="center" vertical="center"/>
    </xf>
    <xf numFmtId="0" fontId="7" fillId="6" borderId="31" xfId="0" applyFont="1" applyFill="1" applyBorder="1" applyAlignment="1">
      <alignment horizontal="center" vertical="center" shrinkToFit="1"/>
    </xf>
    <xf numFmtId="0" fontId="6" fillId="0" borderId="0" xfId="0" applyFont="1" applyAlignment="1">
      <alignment horizontal="left" vertical="center" shrinkToFit="1"/>
    </xf>
    <xf numFmtId="0" fontId="0" fillId="9" borderId="2" xfId="0" applyFill="1" applyBorder="1" applyAlignment="1">
      <alignment horizontal="center" vertical="center"/>
    </xf>
    <xf numFmtId="0" fontId="13" fillId="0" borderId="0" xfId="0" applyFont="1">
      <alignment vertical="center"/>
    </xf>
    <xf numFmtId="0" fontId="0" fillId="5" borderId="31" xfId="0" applyFill="1" applyBorder="1" applyAlignment="1">
      <alignment horizontal="center" vertical="center"/>
    </xf>
    <xf numFmtId="0" fontId="10" fillId="0" borderId="39" xfId="0" applyFont="1" applyFill="1" applyBorder="1" applyAlignment="1">
      <alignment horizontal="center" vertical="center"/>
    </xf>
    <xf numFmtId="0" fontId="10" fillId="0" borderId="39" xfId="0" applyFont="1" applyFill="1" applyBorder="1" applyAlignment="1">
      <alignment vertical="center" shrinkToFit="1"/>
    </xf>
    <xf numFmtId="0" fontId="5" fillId="0" borderId="39" xfId="0" applyFont="1" applyFill="1" applyBorder="1" applyAlignment="1">
      <alignment horizontal="center" vertical="center"/>
    </xf>
    <xf numFmtId="0" fontId="0" fillId="4" borderId="64" xfId="0" applyFill="1" applyBorder="1" applyAlignment="1">
      <alignment horizontal="left" vertical="center"/>
    </xf>
    <xf numFmtId="0" fontId="0" fillId="4" borderId="65" xfId="0" applyFill="1" applyBorder="1" applyAlignment="1">
      <alignment horizontal="left" vertical="center"/>
    </xf>
    <xf numFmtId="0" fontId="0" fillId="4" borderId="43" xfId="0" applyFill="1" applyBorder="1" applyAlignment="1">
      <alignment horizontal="left" vertical="center"/>
    </xf>
    <xf numFmtId="0" fontId="0" fillId="4" borderId="30" xfId="0" applyFill="1" applyBorder="1" applyAlignment="1">
      <alignment horizontal="left" vertical="center"/>
    </xf>
    <xf numFmtId="0" fontId="0" fillId="4" borderId="17" xfId="0" applyFill="1" applyBorder="1" applyAlignment="1">
      <alignment horizontal="left" vertical="center"/>
    </xf>
    <xf numFmtId="0" fontId="0" fillId="4" borderId="44" xfId="0" applyFill="1" applyBorder="1" applyAlignment="1">
      <alignment horizontal="left" vertical="center"/>
    </xf>
    <xf numFmtId="0" fontId="0" fillId="4" borderId="62" xfId="0" applyFill="1" applyBorder="1" applyAlignment="1">
      <alignment horizontal="left" vertical="center"/>
    </xf>
    <xf numFmtId="0" fontId="0" fillId="4" borderId="63" xfId="0" applyFill="1" applyBorder="1" applyAlignment="1">
      <alignment horizontal="left" vertical="center"/>
    </xf>
    <xf numFmtId="0" fontId="0" fillId="4" borderId="45" xfId="0" applyFill="1" applyBorder="1" applyAlignment="1">
      <alignment horizontal="left" vertical="center"/>
    </xf>
    <xf numFmtId="0" fontId="0" fillId="4" borderId="12" xfId="0" applyFill="1" applyBorder="1" applyAlignment="1">
      <alignment horizontal="center" vertical="center"/>
    </xf>
    <xf numFmtId="0" fontId="0" fillId="4" borderId="14" xfId="0" applyFill="1" applyBorder="1" applyAlignment="1">
      <alignment horizontal="center" vertical="center"/>
    </xf>
    <xf numFmtId="0" fontId="0" fillId="4" borderId="13" xfId="0" applyFill="1" applyBorder="1"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2" fillId="4" borderId="1"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0" fontId="13" fillId="4" borderId="6" xfId="0" applyFont="1" applyFill="1" applyBorder="1" applyAlignment="1">
      <alignment horizontal="center" vertical="center" wrapText="1" shrinkToFit="1"/>
    </xf>
    <xf numFmtId="0" fontId="13" fillId="4" borderId="17" xfId="0" applyFont="1" applyFill="1" applyBorder="1" applyAlignment="1">
      <alignment horizontal="center" vertical="center" shrinkToFit="1"/>
    </xf>
    <xf numFmtId="0" fontId="13" fillId="4" borderId="44" xfId="0" applyFont="1" applyFill="1" applyBorder="1" applyAlignment="1">
      <alignment horizontal="center" vertical="center" shrinkToFit="1"/>
    </xf>
    <xf numFmtId="10" fontId="2" fillId="0" borderId="31" xfId="1" applyNumberFormat="1" applyFont="1" applyBorder="1" applyAlignment="1">
      <alignment horizontal="center" vertical="center"/>
    </xf>
    <xf numFmtId="10" fontId="2" fillId="0" borderId="40"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3" fillId="0" borderId="0" xfId="0" applyFont="1" applyBorder="1" applyAlignment="1">
      <alignment horizontal="center" vertical="center"/>
    </xf>
    <xf numFmtId="0" fontId="0" fillId="0" borderId="34"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0" fillId="0" borderId="19" xfId="0" applyFill="1" applyBorder="1" applyAlignment="1">
      <alignment horizontal="center" vertical="center" shrinkToFit="1"/>
    </xf>
    <xf numFmtId="0" fontId="0" fillId="0" borderId="25" xfId="0" applyBorder="1" applyAlignment="1">
      <alignment vertical="center" shrinkToFit="1"/>
    </xf>
    <xf numFmtId="0" fontId="20" fillId="0" borderId="6" xfId="0" applyFont="1" applyBorder="1" applyAlignment="1">
      <alignment horizontal="center" vertical="center" wrapText="1"/>
    </xf>
    <xf numFmtId="0" fontId="19" fillId="0" borderId="17" xfId="0" applyFont="1" applyBorder="1" applyAlignment="1">
      <alignment horizontal="center" vertical="center"/>
    </xf>
    <xf numFmtId="0" fontId="19" fillId="0" borderId="47" xfId="0" applyFont="1" applyBorder="1" applyAlignment="1">
      <alignment horizontal="center" vertical="center" wrapText="1"/>
    </xf>
    <xf numFmtId="0" fontId="19" fillId="0" borderId="19" xfId="0" applyFont="1" applyBorder="1" applyAlignment="1">
      <alignment horizontal="center" vertical="center"/>
    </xf>
    <xf numFmtId="0" fontId="7" fillId="4" borderId="18" xfId="0" applyFont="1" applyFill="1" applyBorder="1" applyAlignment="1">
      <alignment horizontal="center" vertical="center"/>
    </xf>
    <xf numFmtId="0" fontId="0" fillId="0" borderId="1" xfId="0" applyBorder="1" applyAlignment="1">
      <alignment horizontal="center" vertical="center"/>
    </xf>
    <xf numFmtId="0" fontId="2" fillId="4" borderId="1" xfId="0" applyFont="1" applyFill="1" applyBorder="1" applyAlignment="1">
      <alignment horizontal="center" vertical="center"/>
    </xf>
    <xf numFmtId="0" fontId="2" fillId="4" borderId="3" xfId="0" applyFont="1" applyFill="1" applyBorder="1" applyAlignment="1">
      <alignment horizontal="center" vertical="center"/>
    </xf>
    <xf numFmtId="0" fontId="0" fillId="0" borderId="13" xfId="0" applyBorder="1" applyAlignment="1">
      <alignment horizontal="center" vertical="center"/>
    </xf>
    <xf numFmtId="0" fontId="7" fillId="4" borderId="3" xfId="0" applyFont="1" applyFill="1" applyBorder="1" applyAlignment="1">
      <alignment horizontal="center" vertical="center" wrapText="1"/>
    </xf>
    <xf numFmtId="0" fontId="7" fillId="4" borderId="16" xfId="0" applyFont="1" applyFill="1" applyBorder="1" applyAlignment="1">
      <alignment horizontal="center" vertical="center"/>
    </xf>
    <xf numFmtId="0" fontId="7" fillId="4" borderId="3"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41" xfId="0" applyFont="1" applyFill="1" applyBorder="1" applyAlignment="1">
      <alignment horizontal="left" vertical="center" wrapText="1"/>
    </xf>
    <xf numFmtId="0" fontId="7" fillId="4" borderId="42" xfId="0" applyFont="1" applyFill="1" applyBorder="1" applyAlignment="1">
      <alignment horizontal="left" vertical="center" wrapText="1"/>
    </xf>
    <xf numFmtId="0" fontId="7" fillId="4"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7" fillId="4" borderId="59" xfId="0" applyFont="1" applyFill="1" applyBorder="1" applyAlignment="1">
      <alignment horizontal="center" vertical="center"/>
    </xf>
    <xf numFmtId="0" fontId="6" fillId="4" borderId="1" xfId="0" applyFont="1" applyFill="1" applyBorder="1" applyAlignment="1">
      <alignment horizontal="center" vertical="center" wrapText="1"/>
    </xf>
    <xf numFmtId="176" fontId="0" fillId="3" borderId="14" xfId="0" applyNumberFormat="1" applyFill="1" applyBorder="1" applyAlignment="1">
      <alignment horizontal="center" vertical="center"/>
    </xf>
    <xf numFmtId="0" fontId="0" fillId="4" borderId="30" xfId="0" applyFill="1" applyBorder="1" applyAlignment="1">
      <alignment horizontal="center" vertical="center" shrinkToFi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26" xfId="0" applyFill="1" applyBorder="1" applyAlignment="1">
      <alignment horizontal="center" vertical="center" shrinkToFit="1"/>
    </xf>
    <xf numFmtId="0" fontId="0" fillId="4" borderId="24" xfId="0" applyFill="1" applyBorder="1" applyAlignment="1">
      <alignment horizontal="center" vertical="center" shrinkToFit="1"/>
    </xf>
    <xf numFmtId="0" fontId="0" fillId="4" borderId="22"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25" xfId="0" applyFill="1" applyBorder="1" applyAlignment="1">
      <alignment horizontal="center" vertical="center" shrinkToFit="1"/>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0" fillId="4" borderId="3" xfId="0" applyFill="1" applyBorder="1" applyAlignment="1">
      <alignment horizontal="center" vertical="center" shrinkToFit="1"/>
    </xf>
    <xf numFmtId="0" fontId="0" fillId="0" borderId="1" xfId="0" applyBorder="1" applyAlignment="1">
      <alignment horizontal="center" vertical="center" wrapTex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0" fontId="5" fillId="4" borderId="1" xfId="0" applyFont="1" applyFill="1" applyBorder="1" applyAlignment="1">
      <alignment horizontal="center" vertical="center"/>
    </xf>
    <xf numFmtId="0" fontId="7" fillId="0" borderId="19" xfId="0" applyFont="1" applyFill="1" applyBorder="1" applyAlignment="1">
      <alignment horizontal="center" vertical="center"/>
    </xf>
    <xf numFmtId="0" fontId="18" fillId="0" borderId="17" xfId="0" applyFont="1" applyBorder="1" applyAlignment="1">
      <alignment horizontal="center" vertical="center"/>
    </xf>
    <xf numFmtId="0" fontId="30" fillId="0" borderId="0" xfId="0" applyFont="1" applyFill="1" applyAlignment="1">
      <alignment horizontal="center" vertical="center" shrinkToFit="1"/>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9"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30" fillId="0" borderId="0" xfId="0" applyFont="1" applyFill="1" applyAlignment="1">
      <alignment horizontal="right" vertical="center"/>
    </xf>
    <xf numFmtId="0" fontId="5" fillId="0" borderId="19" xfId="0" applyFont="1" applyBorder="1" applyAlignment="1">
      <alignment horizontal="center" vertical="center" shrinkToFit="1"/>
    </xf>
    <xf numFmtId="0" fontId="5" fillId="0" borderId="0" xfId="0" applyFont="1" applyAlignment="1">
      <alignment horizontal="center" vertical="center" shrinkToFit="1"/>
    </xf>
    <xf numFmtId="176" fontId="23" fillId="3" borderId="12" xfId="0" applyNumberFormat="1" applyFont="1" applyFill="1" applyBorder="1" applyAlignment="1">
      <alignment horizontal="center" vertical="center"/>
    </xf>
    <xf numFmtId="176" fontId="23" fillId="3" borderId="13" xfId="0" applyNumberFormat="1" applyFont="1" applyFill="1" applyBorder="1" applyAlignment="1">
      <alignment horizontal="center" vertical="center"/>
    </xf>
    <xf numFmtId="0" fontId="23" fillId="3" borderId="12"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3" xfId="0" applyFont="1" applyFill="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3" fillId="0" borderId="34" xfId="0" applyFont="1" applyBorder="1" applyAlignment="1">
      <alignment horizontal="left" vertical="center"/>
    </xf>
    <xf numFmtId="0" fontId="0" fillId="0" borderId="34" xfId="0" applyFont="1" applyBorder="1" applyAlignment="1">
      <alignment horizontal="center" vertical="center"/>
    </xf>
    <xf numFmtId="180" fontId="37" fillId="0" borderId="0" xfId="0" applyNumberFormat="1" applyFont="1" applyAlignment="1">
      <alignment horizontal="right" vertical="center"/>
    </xf>
    <xf numFmtId="0" fontId="43" fillId="3" borderId="12" xfId="0" applyFont="1" applyFill="1" applyBorder="1" applyAlignment="1">
      <alignment horizontal="center" vertical="center"/>
    </xf>
    <xf numFmtId="0" fontId="0" fillId="0" borderId="14" xfId="0" applyBorder="1" applyAlignment="1">
      <alignment horizontal="center" vertical="center"/>
    </xf>
    <xf numFmtId="0" fontId="40" fillId="0" borderId="19" xfId="0" applyFont="1" applyBorder="1" applyAlignment="1">
      <alignment horizontal="center" vertical="center" shrinkToFit="1"/>
    </xf>
    <xf numFmtId="0" fontId="0" fillId="0" borderId="0" xfId="0" applyAlignment="1">
      <alignment vertical="center" wrapText="1"/>
    </xf>
    <xf numFmtId="0" fontId="0" fillId="0" borderId="0" xfId="0" applyAlignment="1">
      <alignment horizontal="left" vertical="top"/>
    </xf>
    <xf numFmtId="0" fontId="3" fillId="0" borderId="0" xfId="0" applyFont="1" applyAlignment="1">
      <alignment horizontal="left" vertical="center"/>
    </xf>
    <xf numFmtId="0" fontId="0" fillId="0" borderId="0" xfId="0" applyAlignment="1">
      <alignment horizontal="left" vertical="center"/>
    </xf>
    <xf numFmtId="0" fontId="23" fillId="0" borderId="48" xfId="0" applyFont="1" applyFill="1" applyBorder="1" applyAlignment="1">
      <alignment horizontal="center" vertical="center" wrapText="1" shrinkToFit="1"/>
    </xf>
    <xf numFmtId="0" fontId="23" fillId="0" borderId="49" xfId="0" applyFont="1" applyBorder="1" applyAlignment="1">
      <alignment vertical="center"/>
    </xf>
    <xf numFmtId="0" fontId="23" fillId="0" borderId="22" xfId="0" applyFont="1" applyBorder="1" applyAlignment="1">
      <alignment vertical="center"/>
    </xf>
    <xf numFmtId="0" fontId="23" fillId="0" borderId="0" xfId="0" applyFont="1" applyBorder="1" applyAlignment="1">
      <alignment vertical="center"/>
    </xf>
    <xf numFmtId="0" fontId="5" fillId="0" borderId="56" xfId="0" applyFont="1" applyBorder="1" applyAlignment="1">
      <alignment vertical="center" wrapText="1"/>
    </xf>
    <xf numFmtId="0" fontId="5" fillId="0" borderId="57" xfId="0" applyFont="1" applyBorder="1" applyAlignment="1">
      <alignment vertical="center" wrapText="1"/>
    </xf>
    <xf numFmtId="0" fontId="0" fillId="0" borderId="0" xfId="0" applyAlignment="1">
      <alignment horizontal="left" vertical="center" wrapText="1"/>
    </xf>
    <xf numFmtId="0" fontId="0" fillId="0" borderId="0" xfId="0" applyAlignment="1">
      <alignment horizontal="left" vertical="top" wrapText="1"/>
    </xf>
    <xf numFmtId="0" fontId="25" fillId="0" borderId="0" xfId="0" applyFont="1" applyAlignment="1">
      <alignment horizontal="left" vertical="center"/>
    </xf>
    <xf numFmtId="0" fontId="26" fillId="0" borderId="0" xfId="0" applyFont="1" applyAlignment="1">
      <alignment horizontal="left" vertical="center"/>
    </xf>
    <xf numFmtId="180" fontId="35" fillId="8" borderId="12" xfId="0" applyNumberFormat="1" applyFont="1" applyFill="1" applyBorder="1" applyAlignment="1">
      <alignment horizontal="center" vertical="center"/>
    </xf>
    <xf numFmtId="180" fontId="35" fillId="8" borderId="13" xfId="0" applyNumberFormat="1" applyFont="1" applyFill="1" applyBorder="1" applyAlignment="1">
      <alignment horizontal="center" vertical="center"/>
    </xf>
    <xf numFmtId="0" fontId="0" fillId="0" borderId="3" xfId="0" applyBorder="1" applyAlignment="1">
      <alignment vertical="center"/>
    </xf>
    <xf numFmtId="0" fontId="0" fillId="0" borderId="16" xfId="0" applyBorder="1" applyAlignment="1">
      <alignment vertical="center"/>
    </xf>
  </cellXfs>
  <cellStyles count="2">
    <cellStyle name="パーセント" xfId="1" builtinId="5"/>
    <cellStyle name="標準" xfId="0" builtinId="0"/>
  </cellStyles>
  <dxfs count="13">
    <dxf>
      <fill>
        <patternFill>
          <bgColor rgb="FFFFFF99"/>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FFFFCC"/>
      <color rgb="FFFFFF66"/>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542192</xdr:colOff>
      <xdr:row>0</xdr:row>
      <xdr:rowOff>36635</xdr:rowOff>
    </xdr:from>
    <xdr:to>
      <xdr:col>7</xdr:col>
      <xdr:colOff>652096</xdr:colOff>
      <xdr:row>1</xdr:row>
      <xdr:rowOff>21982</xdr:rowOff>
    </xdr:to>
    <xdr:sp macro="" textlink="">
      <xdr:nvSpPr>
        <xdr:cNvPr id="2" name="正方形/長方形 1"/>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twoCellAnchor>
    <xdr:from>
      <xdr:col>6</xdr:col>
      <xdr:colOff>542192</xdr:colOff>
      <xdr:row>0</xdr:row>
      <xdr:rowOff>36635</xdr:rowOff>
    </xdr:from>
    <xdr:to>
      <xdr:col>7</xdr:col>
      <xdr:colOff>652096</xdr:colOff>
      <xdr:row>1</xdr:row>
      <xdr:rowOff>21982</xdr:rowOff>
    </xdr:to>
    <xdr:sp macro="" textlink="">
      <xdr:nvSpPr>
        <xdr:cNvPr id="4" name="正方形/長方形 3"/>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131885</xdr:colOff>
      <xdr:row>0</xdr:row>
      <xdr:rowOff>36635</xdr:rowOff>
    </xdr:from>
    <xdr:to>
      <xdr:col>6</xdr:col>
      <xdr:colOff>930520</xdr:colOff>
      <xdr:row>0</xdr:row>
      <xdr:rowOff>293077</xdr:rowOff>
    </xdr:to>
    <xdr:sp macro="" textlink="">
      <xdr:nvSpPr>
        <xdr:cNvPr id="2" name="正方形/長方形 1"/>
        <xdr:cNvSpPr/>
      </xdr:nvSpPr>
      <xdr:spPr>
        <a:xfrm>
          <a:off x="5282712" y="36635"/>
          <a:ext cx="798635" cy="25644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710393</xdr:colOff>
      <xdr:row>0</xdr:row>
      <xdr:rowOff>202287</xdr:rowOff>
    </xdr:from>
    <xdr:to>
      <xdr:col>15</xdr:col>
      <xdr:colOff>538368</xdr:colOff>
      <xdr:row>1</xdr:row>
      <xdr:rowOff>187634</xdr:rowOff>
    </xdr:to>
    <xdr:sp macro="" textlink="">
      <xdr:nvSpPr>
        <xdr:cNvPr id="2" name="正方形/長方形 1"/>
        <xdr:cNvSpPr/>
      </xdr:nvSpPr>
      <xdr:spPr>
        <a:xfrm>
          <a:off x="8371806" y="202287"/>
          <a:ext cx="1351975"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29690</xdr:rowOff>
    </xdr:from>
    <xdr:to>
      <xdr:col>15</xdr:col>
      <xdr:colOff>223344</xdr:colOff>
      <xdr:row>1</xdr:row>
      <xdr:rowOff>7327</xdr:rowOff>
    </xdr:to>
    <xdr:sp macro="" textlink="">
      <xdr:nvSpPr>
        <xdr:cNvPr id="2" name="正方形/長方形 1"/>
        <xdr:cNvSpPr/>
      </xdr:nvSpPr>
      <xdr:spPr>
        <a:xfrm>
          <a:off x="5708311" y="29690"/>
          <a:ext cx="691629" cy="28536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14653</xdr:colOff>
      <xdr:row>19</xdr:row>
      <xdr:rowOff>43961</xdr:rowOff>
    </xdr:from>
    <xdr:to>
      <xdr:col>14</xdr:col>
      <xdr:colOff>293077</xdr:colOff>
      <xdr:row>22</xdr:row>
      <xdr:rowOff>183173</xdr:rowOff>
    </xdr:to>
    <xdr:cxnSp macro="">
      <xdr:nvCxnSpPr>
        <xdr:cNvPr id="5" name="直線矢印コネクタ 4"/>
        <xdr:cNvCxnSpPr/>
      </xdr:nvCxnSpPr>
      <xdr:spPr>
        <a:xfrm flipV="1">
          <a:off x="4813788" y="3978519"/>
          <a:ext cx="967154" cy="337039"/>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21980</xdr:colOff>
      <xdr:row>31</xdr:row>
      <xdr:rowOff>29308</xdr:rowOff>
    </xdr:from>
    <xdr:to>
      <xdr:col>14</xdr:col>
      <xdr:colOff>285750</xdr:colOff>
      <xdr:row>35</xdr:row>
      <xdr:rowOff>7327</xdr:rowOff>
    </xdr:to>
    <xdr:cxnSp macro="">
      <xdr:nvCxnSpPr>
        <xdr:cNvPr id="6" name="直線矢印コネクタ 5"/>
        <xdr:cNvCxnSpPr/>
      </xdr:nvCxnSpPr>
      <xdr:spPr>
        <a:xfrm flipV="1">
          <a:off x="4821115" y="6066693"/>
          <a:ext cx="952500" cy="388326"/>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28</xdr:row>
      <xdr:rowOff>21980</xdr:rowOff>
    </xdr:from>
    <xdr:to>
      <xdr:col>14</xdr:col>
      <xdr:colOff>352246</xdr:colOff>
      <xdr:row>29</xdr:row>
      <xdr:rowOff>190500</xdr:rowOff>
    </xdr:to>
    <xdr:cxnSp macro="">
      <xdr:nvCxnSpPr>
        <xdr:cNvPr id="7" name="直線矢印コネクタ 6"/>
        <xdr:cNvCxnSpPr/>
      </xdr:nvCxnSpPr>
      <xdr:spPr>
        <a:xfrm>
          <a:off x="5840111" y="5436576"/>
          <a:ext cx="0" cy="36634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31</xdr:row>
      <xdr:rowOff>14377</xdr:rowOff>
    </xdr:from>
    <xdr:to>
      <xdr:col>14</xdr:col>
      <xdr:colOff>353684</xdr:colOff>
      <xdr:row>34</xdr:row>
      <xdr:rowOff>197826</xdr:rowOff>
    </xdr:to>
    <xdr:cxnSp macro="">
      <xdr:nvCxnSpPr>
        <xdr:cNvPr id="10" name="直線矢印コネクタ 9"/>
        <xdr:cNvCxnSpPr/>
      </xdr:nvCxnSpPr>
      <xdr:spPr>
        <a:xfrm>
          <a:off x="5841549" y="6051762"/>
          <a:ext cx="0" cy="3812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7328</xdr:colOff>
      <xdr:row>38</xdr:row>
      <xdr:rowOff>29308</xdr:rowOff>
    </xdr:from>
    <xdr:to>
      <xdr:col>14</xdr:col>
      <xdr:colOff>29308</xdr:colOff>
      <xdr:row>40</xdr:row>
      <xdr:rowOff>0</xdr:rowOff>
    </xdr:to>
    <xdr:cxnSp macro="">
      <xdr:nvCxnSpPr>
        <xdr:cNvPr id="12" name="直線矢印コネクタ 11"/>
        <xdr:cNvCxnSpPr/>
      </xdr:nvCxnSpPr>
      <xdr:spPr>
        <a:xfrm flipH="1">
          <a:off x="4806463" y="7891096"/>
          <a:ext cx="710710" cy="36634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344338</xdr:colOff>
      <xdr:row>39</xdr:row>
      <xdr:rowOff>8627</xdr:rowOff>
    </xdr:from>
    <xdr:to>
      <xdr:col>12</xdr:col>
      <xdr:colOff>344338</xdr:colOff>
      <xdr:row>39</xdr:row>
      <xdr:rowOff>189781</xdr:rowOff>
    </xdr:to>
    <xdr:cxnSp macro="">
      <xdr:nvCxnSpPr>
        <xdr:cNvPr id="14" name="直線矢印コネクタ 13"/>
        <xdr:cNvCxnSpPr/>
      </xdr:nvCxnSpPr>
      <xdr:spPr>
        <a:xfrm>
          <a:off x="4445480" y="5738004"/>
          <a:ext cx="0" cy="18115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19</xdr:row>
      <xdr:rowOff>21981</xdr:rowOff>
    </xdr:from>
    <xdr:to>
      <xdr:col>14</xdr:col>
      <xdr:colOff>352246</xdr:colOff>
      <xdr:row>23</xdr:row>
      <xdr:rowOff>197827</xdr:rowOff>
    </xdr:to>
    <xdr:cxnSp macro="">
      <xdr:nvCxnSpPr>
        <xdr:cNvPr id="21" name="直線矢印コネクタ 20"/>
        <xdr:cNvCxnSpPr/>
      </xdr:nvCxnSpPr>
      <xdr:spPr>
        <a:xfrm>
          <a:off x="5840111" y="3758712"/>
          <a:ext cx="0" cy="571500"/>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350781</xdr:colOff>
      <xdr:row>25</xdr:row>
      <xdr:rowOff>21981</xdr:rowOff>
    </xdr:from>
    <xdr:to>
      <xdr:col>14</xdr:col>
      <xdr:colOff>350781</xdr:colOff>
      <xdr:row>26</xdr:row>
      <xdr:rowOff>196777</xdr:rowOff>
    </xdr:to>
    <xdr:cxnSp macro="">
      <xdr:nvCxnSpPr>
        <xdr:cNvPr id="24" name="直線矢印コネクタ 23"/>
        <xdr:cNvCxnSpPr/>
      </xdr:nvCxnSpPr>
      <xdr:spPr>
        <a:xfrm>
          <a:off x="5838646" y="4813789"/>
          <a:ext cx="0" cy="37262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27841</xdr:colOff>
      <xdr:row>25</xdr:row>
      <xdr:rowOff>43962</xdr:rowOff>
    </xdr:from>
    <xdr:to>
      <xdr:col>14</xdr:col>
      <xdr:colOff>278423</xdr:colOff>
      <xdr:row>26</xdr:row>
      <xdr:rowOff>196362</xdr:rowOff>
    </xdr:to>
    <xdr:cxnSp macro="">
      <xdr:nvCxnSpPr>
        <xdr:cNvPr id="25" name="直線矢印コネクタ 24"/>
        <xdr:cNvCxnSpPr/>
      </xdr:nvCxnSpPr>
      <xdr:spPr>
        <a:xfrm flipV="1">
          <a:off x="4826976" y="4799135"/>
          <a:ext cx="939312" cy="350227"/>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26376</xdr:colOff>
      <xdr:row>28</xdr:row>
      <xdr:rowOff>43961</xdr:rowOff>
    </xdr:from>
    <xdr:to>
      <xdr:col>14</xdr:col>
      <xdr:colOff>278423</xdr:colOff>
      <xdr:row>29</xdr:row>
      <xdr:rowOff>187570</xdr:rowOff>
    </xdr:to>
    <xdr:cxnSp macro="">
      <xdr:nvCxnSpPr>
        <xdr:cNvPr id="26" name="直線矢印コネクタ 25"/>
        <xdr:cNvCxnSpPr/>
      </xdr:nvCxnSpPr>
      <xdr:spPr>
        <a:xfrm flipV="1">
          <a:off x="4825511" y="5421923"/>
          <a:ext cx="940777" cy="341435"/>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17</xdr:row>
      <xdr:rowOff>21980</xdr:rowOff>
    </xdr:from>
    <xdr:to>
      <xdr:col>12</xdr:col>
      <xdr:colOff>349730</xdr:colOff>
      <xdr:row>17</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17</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17</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36636</xdr:colOff>
      <xdr:row>31</xdr:row>
      <xdr:rowOff>146539</xdr:rowOff>
    </xdr:from>
    <xdr:to>
      <xdr:col>12</xdr:col>
      <xdr:colOff>65944</xdr:colOff>
      <xdr:row>34</xdr:row>
      <xdr:rowOff>95250</xdr:rowOff>
    </xdr:to>
    <xdr:sp macro="" textlink="">
      <xdr:nvSpPr>
        <xdr:cNvPr id="3" name="テキスト ボックス 2"/>
        <xdr:cNvSpPr txBox="1"/>
      </xdr:nvSpPr>
      <xdr:spPr>
        <a:xfrm>
          <a:off x="2769578" y="6528289"/>
          <a:ext cx="1406770" cy="5348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800" b="1"/>
            <a:t>基本分単価における　</a:t>
          </a:r>
          <a:endParaRPr kumimoji="1" lang="en-US" altLang="ja-JP" sz="800" b="1"/>
        </a:p>
        <a:p>
          <a:pPr algn="r"/>
          <a:r>
            <a:rPr kumimoji="1" lang="ja-JP" altLang="en-US" sz="800" b="1"/>
            <a:t>必要保育教諭等の数を</a:t>
          </a:r>
        </a:p>
      </xdr:txBody>
    </xdr:sp>
    <xdr:clientData/>
  </xdr:twoCellAnchor>
  <xdr:twoCellAnchor>
    <xdr:from>
      <xdr:col>14</xdr:col>
      <xdr:colOff>352246</xdr:colOff>
      <xdr:row>36</xdr:row>
      <xdr:rowOff>7326</xdr:rowOff>
    </xdr:from>
    <xdr:to>
      <xdr:col>14</xdr:col>
      <xdr:colOff>352246</xdr:colOff>
      <xdr:row>36</xdr:row>
      <xdr:rowOff>205154</xdr:rowOff>
    </xdr:to>
    <xdr:cxnSp macro="">
      <xdr:nvCxnSpPr>
        <xdr:cNvPr id="19" name="直線矢印コネクタ 18"/>
        <xdr:cNvCxnSpPr/>
      </xdr:nvCxnSpPr>
      <xdr:spPr>
        <a:xfrm>
          <a:off x="5840111" y="7444153"/>
          <a:ext cx="0" cy="19782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171450</xdr:colOff>
      <xdr:row>0</xdr:row>
      <xdr:rowOff>381000</xdr:rowOff>
    </xdr:from>
    <xdr:to>
      <xdr:col>6</xdr:col>
      <xdr:colOff>638175</xdr:colOff>
      <xdr:row>2</xdr:row>
      <xdr:rowOff>190500</xdr:rowOff>
    </xdr:to>
    <xdr:sp macro="" textlink="">
      <xdr:nvSpPr>
        <xdr:cNvPr id="2" name="正方形/長方形 1"/>
        <xdr:cNvSpPr/>
      </xdr:nvSpPr>
      <xdr:spPr>
        <a:xfrm>
          <a:off x="4438650" y="381000"/>
          <a:ext cx="1333500" cy="3048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chemeClr val="tx1"/>
              </a:solidFill>
            </a:rPr>
            <a:t>⑥加配職員算定</a:t>
          </a:r>
        </a:p>
      </xdr:txBody>
    </xdr:sp>
    <xdr:clientData/>
  </xdr:twoCellAnchor>
  <xdr:twoCellAnchor>
    <xdr:from>
      <xdr:col>6</xdr:col>
      <xdr:colOff>9525</xdr:colOff>
      <xdr:row>11</xdr:row>
      <xdr:rowOff>123824</xdr:rowOff>
    </xdr:from>
    <xdr:to>
      <xdr:col>6</xdr:col>
      <xdr:colOff>371475</xdr:colOff>
      <xdr:row>14</xdr:row>
      <xdr:rowOff>219074</xdr:rowOff>
    </xdr:to>
    <xdr:sp macro="" textlink="">
      <xdr:nvSpPr>
        <xdr:cNvPr id="3" name="左カーブ矢印 2"/>
        <xdr:cNvSpPr/>
      </xdr:nvSpPr>
      <xdr:spPr>
        <a:xfrm>
          <a:off x="5448300" y="3552824"/>
          <a:ext cx="361950" cy="962025"/>
        </a:xfrm>
        <a:prstGeom prst="curved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0647"/>
          <a:ext cx="8536081" cy="4114800"/>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60344"/>
          <a:ext cx="5630397" cy="338978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（ア）基本分単価における必要保育教諭等</a:t>
            </a:r>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087596" y="950819"/>
          <a:ext cx="2429435" cy="338978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38544"/>
          <a:ext cx="2543735" cy="2842932"/>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17</xdr:row>
      <xdr:rowOff>180976</xdr:rowOff>
    </xdr:to>
    <xdr:grpSp>
      <xdr:nvGrpSpPr>
        <xdr:cNvPr id="14" name="グループ化 13"/>
        <xdr:cNvGrpSpPr/>
      </xdr:nvGrpSpPr>
      <xdr:grpSpPr>
        <a:xfrm>
          <a:off x="3267636" y="1338544"/>
          <a:ext cx="2543736" cy="2842932"/>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15</xdr:row>
      <xdr:rowOff>190500</xdr:rowOff>
    </xdr:to>
    <xdr:grpSp>
      <xdr:nvGrpSpPr>
        <xdr:cNvPr id="30" name="グループ化 29"/>
        <xdr:cNvGrpSpPr/>
      </xdr:nvGrpSpPr>
      <xdr:grpSpPr>
        <a:xfrm>
          <a:off x="6294904" y="1459566"/>
          <a:ext cx="2060202" cy="2260787"/>
          <a:chOff x="7124700" y="1247775"/>
          <a:chExt cx="2066925" cy="2286000"/>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園長</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調理員等</a:t>
            </a:r>
            <a:r>
              <a:rPr kumimoji="1" lang="en-US" altLang="ja-JP" sz="1100"/>
              <a:t>※2</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※3</a:t>
            </a:r>
            <a:endParaRPr kumimoji="1" lang="ja-JP" altLang="en-US" sz="1100"/>
          </a:p>
        </xdr:txBody>
      </xdr:sp>
      <xdr:sp macro="" textlink="">
        <xdr:nvSpPr>
          <xdr:cNvPr id="20" name="テキスト ボックス 19"/>
          <xdr:cNvSpPr txBox="1"/>
        </xdr:nvSpPr>
        <xdr:spPr>
          <a:xfrm>
            <a:off x="7124700" y="2705100"/>
            <a:ext cx="2047874" cy="82867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a:p>
            <a:pPr algn="ctr"/>
            <a:r>
              <a:rPr kumimoji="1" lang="ja-JP" altLang="en-US" sz="1100"/>
              <a:t>嘱託薬剤師</a:t>
            </a:r>
            <a:endParaRPr kumimoji="1" lang="en-US" altLang="ja-JP" sz="1100"/>
          </a:p>
        </xdr:txBody>
      </xdr:sp>
    </xdr:grpSp>
    <xdr:clientData/>
  </xdr:twoCellAnchor>
  <xdr:twoCellAnchor>
    <xdr:from>
      <xdr:col>5</xdr:col>
      <xdr:colOff>95251</xdr:colOff>
      <xdr:row>7</xdr:row>
      <xdr:rowOff>104775</xdr:rowOff>
    </xdr:from>
    <xdr:to>
      <xdr:col>8</xdr:col>
      <xdr:colOff>95250</xdr:colOff>
      <xdr:row>13</xdr:row>
      <xdr:rowOff>161925</xdr:rowOff>
    </xdr:to>
    <xdr:grpSp>
      <xdr:nvGrpSpPr>
        <xdr:cNvPr id="29" name="グループ化 28"/>
        <xdr:cNvGrpSpPr/>
      </xdr:nvGrpSpPr>
      <xdr:grpSpPr>
        <a:xfrm>
          <a:off x="3513045" y="1752040"/>
          <a:ext cx="2050676" cy="1469091"/>
          <a:chOff x="4029076" y="1476375"/>
          <a:chExt cx="2057399" cy="1485900"/>
        </a:xfrm>
      </xdr:grpSpPr>
      <xdr:sp macro="" textlink="">
        <xdr:nvSpPr>
          <xdr:cNvPr id="23" name="テキスト ボックス 22"/>
          <xdr:cNvSpPr txBox="1"/>
        </xdr:nvSpPr>
        <xdr:spPr>
          <a:xfrm>
            <a:off x="40290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主幹専任化代替職員①</a:t>
            </a:r>
          </a:p>
        </xdr:txBody>
      </xdr:sp>
      <xdr:sp macro="" textlink="">
        <xdr:nvSpPr>
          <xdr:cNvPr id="24" name="テキスト ボックス 23"/>
          <xdr:cNvSpPr txBox="1"/>
        </xdr:nvSpPr>
        <xdr:spPr>
          <a:xfrm>
            <a:off x="4038601"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主幹専任化代替職員②</a:t>
            </a:r>
          </a:p>
        </xdr:txBody>
      </xdr:sp>
      <xdr:sp macro="" textlink="">
        <xdr:nvSpPr>
          <xdr:cNvPr id="25" name="テキスト ボックス 24"/>
          <xdr:cNvSpPr txBox="1"/>
        </xdr:nvSpPr>
        <xdr:spPr>
          <a:xfrm>
            <a:off x="4038601" y="22669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休けい保育教諭</a:t>
            </a:r>
            <a:r>
              <a:rPr kumimoji="1" lang="en-US" altLang="ja-JP" sz="1100"/>
              <a:t>※1</a:t>
            </a:r>
            <a:endParaRPr kumimoji="1" lang="ja-JP" altLang="en-US" sz="1100"/>
          </a:p>
        </xdr:txBody>
      </xdr:sp>
      <xdr:sp macro="" textlink="">
        <xdr:nvSpPr>
          <xdr:cNvPr id="26" name="テキスト ボックス 25"/>
          <xdr:cNvSpPr txBox="1"/>
        </xdr:nvSpPr>
        <xdr:spPr>
          <a:xfrm>
            <a:off x="4038600" y="26860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保育標準時間対応</a:t>
            </a:r>
          </a:p>
        </xdr:txBody>
      </xdr:sp>
    </xdr:grpSp>
    <xdr:clientData/>
  </xdr:twoCellAnchor>
  <xdr:twoCellAnchor>
    <xdr:from>
      <xdr:col>1</xdr:col>
      <xdr:colOff>76200</xdr:colOff>
      <xdr:row>7</xdr:row>
      <xdr:rowOff>114300</xdr:rowOff>
    </xdr:from>
    <xdr:to>
      <xdr:col>4</xdr:col>
      <xdr:colOff>76200</xdr:colOff>
      <xdr:row>16</xdr:row>
      <xdr:rowOff>180975</xdr:rowOff>
    </xdr:to>
    <xdr:grpSp>
      <xdr:nvGrpSpPr>
        <xdr:cNvPr id="28" name="グループ化 27"/>
        <xdr:cNvGrpSpPr/>
      </xdr:nvGrpSpPr>
      <xdr:grpSpPr>
        <a:xfrm>
          <a:off x="759759" y="1761565"/>
          <a:ext cx="2050676" cy="2184586"/>
          <a:chOff x="1238250" y="1476375"/>
          <a:chExt cx="2057400" cy="2209800"/>
        </a:xfrm>
      </xdr:grpSpPr>
      <xdr:sp macro="" textlink="">
        <xdr:nvSpPr>
          <xdr:cNvPr id="21" name="テキスト ボックス 20"/>
          <xdr:cNvSpPr txBox="1"/>
        </xdr:nvSpPr>
        <xdr:spPr>
          <a:xfrm>
            <a:off x="12477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主幹保育教諭①</a:t>
            </a:r>
          </a:p>
        </xdr:txBody>
      </xdr:sp>
      <xdr:sp macro="" textlink="">
        <xdr:nvSpPr>
          <xdr:cNvPr id="22" name="テキスト ボックス 21"/>
          <xdr:cNvSpPr txBox="1"/>
        </xdr:nvSpPr>
        <xdr:spPr>
          <a:xfrm>
            <a:off x="1247776"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主幹保育教諭②</a:t>
            </a:r>
          </a:p>
        </xdr:txBody>
      </xdr:sp>
      <xdr:sp macro="" textlink="">
        <xdr:nvSpPr>
          <xdr:cNvPr id="27" name="テキスト ボックス 26"/>
          <xdr:cNvSpPr txBox="1"/>
        </xdr:nvSpPr>
        <xdr:spPr>
          <a:xfrm>
            <a:off x="1238250" y="2276475"/>
            <a:ext cx="2047874" cy="14097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その他保育教諭</a:t>
            </a:r>
            <a:endParaRPr kumimoji="1" lang="en-US" altLang="ja-JP" sz="1100"/>
          </a:p>
          <a:p>
            <a:pPr algn="l"/>
            <a:r>
              <a:rPr kumimoji="1" lang="ja-JP" altLang="en-US" sz="1100"/>
              <a:t>　・副主幹保育教諭</a:t>
            </a:r>
            <a:endParaRPr kumimoji="1" lang="en-US" altLang="ja-JP" sz="1100"/>
          </a:p>
          <a:p>
            <a:pPr algn="l"/>
            <a:r>
              <a:rPr kumimoji="1" lang="ja-JP" altLang="en-US" sz="1100"/>
              <a:t>　・専門リーダー</a:t>
            </a:r>
            <a:endParaRPr kumimoji="1" lang="en-US" altLang="ja-JP" sz="1100"/>
          </a:p>
          <a:p>
            <a:pPr algn="l"/>
            <a:r>
              <a:rPr kumimoji="1" lang="ja-JP" altLang="en-US" sz="1100"/>
              <a:t>　・職務分野別リーダー</a:t>
            </a:r>
            <a:endParaRPr kumimoji="1" lang="en-US" altLang="ja-JP" sz="1100"/>
          </a:p>
          <a:p>
            <a:pPr algn="l"/>
            <a:r>
              <a:rPr kumimoji="1" lang="ja-JP" altLang="en-US" sz="1100"/>
              <a:t>　・一般保育教諭等</a:t>
            </a:r>
            <a:endParaRPr kumimoji="1" lang="en-US" altLang="ja-JP"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347382</xdr:colOff>
      <xdr:row>1</xdr:row>
      <xdr:rowOff>51547</xdr:rowOff>
    </xdr:from>
    <xdr:to>
      <xdr:col>19</xdr:col>
      <xdr:colOff>437029</xdr:colOff>
      <xdr:row>55</xdr:row>
      <xdr:rowOff>163285</xdr:rowOff>
    </xdr:to>
    <xdr:sp macro="" textlink="">
      <xdr:nvSpPr>
        <xdr:cNvPr id="2" name="角丸四角形 1"/>
        <xdr:cNvSpPr/>
      </xdr:nvSpPr>
      <xdr:spPr>
        <a:xfrm>
          <a:off x="9948582" y="289672"/>
          <a:ext cx="3509122" cy="12970488"/>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582705</xdr:colOff>
      <xdr:row>1</xdr:row>
      <xdr:rowOff>56030</xdr:rowOff>
    </xdr:from>
    <xdr:to>
      <xdr:col>13</xdr:col>
      <xdr:colOff>661146</xdr:colOff>
      <xdr:row>55</xdr:row>
      <xdr:rowOff>167768</xdr:rowOff>
    </xdr:to>
    <xdr:sp macro="" textlink="">
      <xdr:nvSpPr>
        <xdr:cNvPr id="3" name="角丸四角形 2"/>
        <xdr:cNvSpPr/>
      </xdr:nvSpPr>
      <xdr:spPr>
        <a:xfrm>
          <a:off x="6069105" y="294155"/>
          <a:ext cx="3507441" cy="12970488"/>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268942</xdr:colOff>
      <xdr:row>7</xdr:row>
      <xdr:rowOff>89647</xdr:rowOff>
    </xdr:from>
    <xdr:to>
      <xdr:col>22</xdr:col>
      <xdr:colOff>54429</xdr:colOff>
      <xdr:row>11</xdr:row>
      <xdr:rowOff>100853</xdr:rowOff>
    </xdr:to>
    <xdr:sp macro="" textlink="">
      <xdr:nvSpPr>
        <xdr:cNvPr id="4" name="角丸四角形 3"/>
        <xdr:cNvSpPr/>
      </xdr:nvSpPr>
      <xdr:spPr>
        <a:xfrm flipV="1">
          <a:off x="2326342" y="1756522"/>
          <a:ext cx="12806162" cy="963706"/>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257736</xdr:colOff>
      <xdr:row>2</xdr:row>
      <xdr:rowOff>123264</xdr:rowOff>
    </xdr:from>
    <xdr:to>
      <xdr:col>22</xdr:col>
      <xdr:colOff>54428</xdr:colOff>
      <xdr:row>5</xdr:row>
      <xdr:rowOff>212912</xdr:rowOff>
    </xdr:to>
    <xdr:sp macro="" textlink="">
      <xdr:nvSpPr>
        <xdr:cNvPr id="5" name="角丸四角形 4"/>
        <xdr:cNvSpPr/>
      </xdr:nvSpPr>
      <xdr:spPr>
        <a:xfrm flipV="1">
          <a:off x="257736" y="599514"/>
          <a:ext cx="14874767" cy="804023"/>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183046</xdr:colOff>
      <xdr:row>42</xdr:row>
      <xdr:rowOff>160361</xdr:rowOff>
    </xdr:from>
    <xdr:to>
      <xdr:col>15</xdr:col>
      <xdr:colOff>170843</xdr:colOff>
      <xdr:row>42</xdr:row>
      <xdr:rowOff>165124</xdr:rowOff>
    </xdr:to>
    <xdr:cxnSp macro="">
      <xdr:nvCxnSpPr>
        <xdr:cNvPr id="6" name="カギ線コネクタ 422"/>
        <xdr:cNvCxnSpPr>
          <a:stCxn id="21" idx="3"/>
          <a:endCxn id="58" idx="1"/>
        </xdr:cNvCxnSpPr>
      </xdr:nvCxnSpPr>
      <xdr:spPr>
        <a:xfrm flipV="1">
          <a:off x="9098446" y="10161611"/>
          <a:ext cx="1349872" cy="476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231323</xdr:colOff>
      <xdr:row>3</xdr:row>
      <xdr:rowOff>101752</xdr:rowOff>
    </xdr:from>
    <xdr:to>
      <xdr:col>13</xdr:col>
      <xdr:colOff>315312</xdr:colOff>
      <xdr:row>4</xdr:row>
      <xdr:rowOff>229915</xdr:rowOff>
    </xdr:to>
    <xdr:sp macro="" textlink="">
      <xdr:nvSpPr>
        <xdr:cNvPr id="7" name="正方形/長方形 6"/>
        <xdr:cNvSpPr/>
      </xdr:nvSpPr>
      <xdr:spPr>
        <a:xfrm>
          <a:off x="6403523" y="816127"/>
          <a:ext cx="2827189" cy="36628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主幹保育教諭（１号）の配置</a:t>
          </a:r>
        </a:p>
      </xdr:txBody>
    </xdr:sp>
    <xdr:clientData/>
  </xdr:twoCellAnchor>
  <xdr:twoCellAnchor>
    <xdr:from>
      <xdr:col>15</xdr:col>
      <xdr:colOff>6854</xdr:colOff>
      <xdr:row>3</xdr:row>
      <xdr:rowOff>100785</xdr:rowOff>
    </xdr:from>
    <xdr:to>
      <xdr:col>19</xdr:col>
      <xdr:colOff>85395</xdr:colOff>
      <xdr:row>4</xdr:row>
      <xdr:rowOff>230572</xdr:rowOff>
    </xdr:to>
    <xdr:sp macro="" textlink="">
      <xdr:nvSpPr>
        <xdr:cNvPr id="8" name="正方形/長方形 7"/>
        <xdr:cNvSpPr/>
      </xdr:nvSpPr>
      <xdr:spPr>
        <a:xfrm>
          <a:off x="10284329" y="815160"/>
          <a:ext cx="2821741" cy="36791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主幹保育教諭（２・３号）の配置</a:t>
          </a:r>
        </a:p>
      </xdr:txBody>
    </xdr:sp>
    <xdr:clientData/>
  </xdr:twoCellAnchor>
  <xdr:twoCellAnchor>
    <xdr:from>
      <xdr:col>9</xdr:col>
      <xdr:colOff>230902</xdr:colOff>
      <xdr:row>8</xdr:row>
      <xdr:rowOff>36411</xdr:rowOff>
    </xdr:from>
    <xdr:to>
      <xdr:col>13</xdr:col>
      <xdr:colOff>313211</xdr:colOff>
      <xdr:row>10</xdr:row>
      <xdr:rowOff>235062</xdr:rowOff>
    </xdr:to>
    <xdr:sp macro="" textlink="">
      <xdr:nvSpPr>
        <xdr:cNvPr id="9" name="正方形/長方形 8"/>
        <xdr:cNvSpPr/>
      </xdr:nvSpPr>
      <xdr:spPr>
        <a:xfrm>
          <a:off x="6403102" y="1941411"/>
          <a:ext cx="2825509" cy="67490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主幹（１号）専任化のための</a:t>
          </a:r>
          <a:endParaRPr kumimoji="1" lang="en-US" altLang="ja-JP" sz="1200">
            <a:solidFill>
              <a:schemeClr val="tx1"/>
            </a:solidFill>
          </a:endParaRPr>
        </a:p>
        <a:p>
          <a:pPr algn="ctr"/>
          <a:r>
            <a:rPr kumimoji="1" lang="ja-JP" altLang="en-US" sz="1200">
              <a:solidFill>
                <a:schemeClr val="tx1"/>
              </a:solidFill>
            </a:rPr>
            <a:t>代替保育教諭の配置（非常勤可）</a:t>
          </a:r>
        </a:p>
      </xdr:txBody>
    </xdr:sp>
    <xdr:clientData/>
  </xdr:twoCellAnchor>
  <xdr:twoCellAnchor>
    <xdr:from>
      <xdr:col>15</xdr:col>
      <xdr:colOff>4074</xdr:colOff>
      <xdr:row>8</xdr:row>
      <xdr:rowOff>27214</xdr:rowOff>
    </xdr:from>
    <xdr:to>
      <xdr:col>19</xdr:col>
      <xdr:colOff>86383</xdr:colOff>
      <xdr:row>10</xdr:row>
      <xdr:rowOff>224586</xdr:rowOff>
    </xdr:to>
    <xdr:sp macro="" textlink="">
      <xdr:nvSpPr>
        <xdr:cNvPr id="10" name="正方形/長方形 9"/>
        <xdr:cNvSpPr/>
      </xdr:nvSpPr>
      <xdr:spPr>
        <a:xfrm>
          <a:off x="10281549" y="1932214"/>
          <a:ext cx="2825509" cy="67362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主幹（２・３号）専任化のための</a:t>
          </a:r>
          <a:endParaRPr kumimoji="1" lang="en-US" altLang="ja-JP" sz="1200">
            <a:solidFill>
              <a:schemeClr val="tx1"/>
            </a:solidFill>
          </a:endParaRPr>
        </a:p>
        <a:p>
          <a:pPr algn="ctr"/>
          <a:r>
            <a:rPr kumimoji="1" lang="ja-JP" altLang="en-US" sz="1200">
              <a:solidFill>
                <a:schemeClr val="tx1"/>
              </a:solidFill>
            </a:rPr>
            <a:t>代替保育教諭の配置</a:t>
          </a:r>
        </a:p>
      </xdr:txBody>
    </xdr:sp>
    <xdr:clientData/>
  </xdr:twoCellAnchor>
  <xdr:twoCellAnchor>
    <xdr:from>
      <xdr:col>17</xdr:col>
      <xdr:colOff>45229</xdr:colOff>
      <xdr:row>10</xdr:row>
      <xdr:rowOff>224586</xdr:rowOff>
    </xdr:from>
    <xdr:to>
      <xdr:col>17</xdr:col>
      <xdr:colOff>52301</xdr:colOff>
      <xdr:row>12</xdr:row>
      <xdr:rowOff>177585</xdr:rowOff>
    </xdr:to>
    <xdr:cxnSp macro="">
      <xdr:nvCxnSpPr>
        <xdr:cNvPr id="11" name="カギ線コネクタ 23"/>
        <xdr:cNvCxnSpPr>
          <a:stCxn id="10" idx="2"/>
          <a:endCxn id="73" idx="0"/>
        </xdr:cNvCxnSpPr>
      </xdr:nvCxnSpPr>
      <xdr:spPr>
        <a:xfrm>
          <a:off x="11572093" y="2646196"/>
          <a:ext cx="7072" cy="43732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272057</xdr:colOff>
      <xdr:row>10</xdr:row>
      <xdr:rowOff>235062</xdr:rowOff>
    </xdr:from>
    <xdr:to>
      <xdr:col>11</xdr:col>
      <xdr:colOff>275621</xdr:colOff>
      <xdr:row>12</xdr:row>
      <xdr:rowOff>193728</xdr:rowOff>
    </xdr:to>
    <xdr:cxnSp macro="">
      <xdr:nvCxnSpPr>
        <xdr:cNvPr id="12" name="カギ線コネクタ 24"/>
        <xdr:cNvCxnSpPr>
          <a:stCxn id="9" idx="2"/>
          <a:endCxn id="70" idx="0"/>
        </xdr:cNvCxnSpPr>
      </xdr:nvCxnSpPr>
      <xdr:spPr>
        <a:xfrm>
          <a:off x="7730616" y="2656672"/>
          <a:ext cx="3564" cy="44298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45229</xdr:colOff>
      <xdr:row>4</xdr:row>
      <xdr:rowOff>230572</xdr:rowOff>
    </xdr:from>
    <xdr:to>
      <xdr:col>17</xdr:col>
      <xdr:colOff>46125</xdr:colOff>
      <xdr:row>8</xdr:row>
      <xdr:rowOff>27214</xdr:rowOff>
    </xdr:to>
    <xdr:cxnSp macro="">
      <xdr:nvCxnSpPr>
        <xdr:cNvPr id="13" name="カギ線コネクタ 25"/>
        <xdr:cNvCxnSpPr>
          <a:stCxn id="8" idx="2"/>
          <a:endCxn id="10" idx="0"/>
        </xdr:cNvCxnSpPr>
      </xdr:nvCxnSpPr>
      <xdr:spPr>
        <a:xfrm flipH="1">
          <a:off x="11694304" y="1183072"/>
          <a:ext cx="896" cy="74914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281469</xdr:colOff>
      <xdr:row>21</xdr:row>
      <xdr:rowOff>177584</xdr:rowOff>
    </xdr:from>
    <xdr:to>
      <xdr:col>11</xdr:col>
      <xdr:colOff>284688</xdr:colOff>
      <xdr:row>24</xdr:row>
      <xdr:rowOff>10182</xdr:rowOff>
    </xdr:to>
    <xdr:cxnSp macro="">
      <xdr:nvCxnSpPr>
        <xdr:cNvPr id="14" name="カギ線コネクタ 26"/>
        <xdr:cNvCxnSpPr>
          <a:stCxn id="71" idx="2"/>
          <a:endCxn id="15" idx="0"/>
        </xdr:cNvCxnSpPr>
      </xdr:nvCxnSpPr>
      <xdr:spPr>
        <a:xfrm>
          <a:off x="7740028" y="5262965"/>
          <a:ext cx="3219" cy="55908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23994</xdr:colOff>
      <xdr:row>24</xdr:row>
      <xdr:rowOff>10182</xdr:rowOff>
    </xdr:from>
    <xdr:to>
      <xdr:col>13</xdr:col>
      <xdr:colOff>545381</xdr:colOff>
      <xdr:row>27</xdr:row>
      <xdr:rowOff>3843</xdr:rowOff>
    </xdr:to>
    <xdr:sp macro="" textlink="">
      <xdr:nvSpPr>
        <xdr:cNvPr id="15" name="正方形/長方形 14"/>
        <xdr:cNvSpPr/>
      </xdr:nvSpPr>
      <xdr:spPr>
        <a:xfrm>
          <a:off x="6196194" y="5725182"/>
          <a:ext cx="3264587" cy="70803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主幹教諭等の専任化により子育て支援の取組みを実施している（１号）</a:t>
          </a:r>
        </a:p>
      </xdr:txBody>
    </xdr:sp>
    <xdr:clientData/>
  </xdr:twoCellAnchor>
  <xdr:twoCellAnchor>
    <xdr:from>
      <xdr:col>17</xdr:col>
      <xdr:colOff>46917</xdr:colOff>
      <xdr:row>21</xdr:row>
      <xdr:rowOff>121288</xdr:rowOff>
    </xdr:from>
    <xdr:to>
      <xdr:col>17</xdr:col>
      <xdr:colOff>50941</xdr:colOff>
      <xdr:row>24</xdr:row>
      <xdr:rowOff>15591</xdr:rowOff>
    </xdr:to>
    <xdr:cxnSp macro="">
      <xdr:nvCxnSpPr>
        <xdr:cNvPr id="16" name="カギ線コネクタ 28"/>
        <xdr:cNvCxnSpPr>
          <a:stCxn id="74" idx="2"/>
          <a:endCxn id="61" idx="0"/>
        </xdr:cNvCxnSpPr>
      </xdr:nvCxnSpPr>
      <xdr:spPr>
        <a:xfrm flipH="1">
          <a:off x="11573781" y="5206669"/>
          <a:ext cx="4024" cy="62078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29889</xdr:colOff>
      <xdr:row>22</xdr:row>
      <xdr:rowOff>234840</xdr:rowOff>
    </xdr:from>
    <xdr:to>
      <xdr:col>18</xdr:col>
      <xdr:colOff>312355</xdr:colOff>
      <xdr:row>23</xdr:row>
      <xdr:rowOff>212527</xdr:rowOff>
    </xdr:to>
    <xdr:sp macro="" textlink="">
      <xdr:nvSpPr>
        <xdr:cNvPr id="17" name="正方形/長方形 16"/>
        <xdr:cNvSpPr/>
      </xdr:nvSpPr>
      <xdr:spPr>
        <a:xfrm>
          <a:off x="11678964" y="5473590"/>
          <a:ext cx="968266"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259147</xdr:colOff>
      <xdr:row>22</xdr:row>
      <xdr:rowOff>207579</xdr:rowOff>
    </xdr:from>
    <xdr:to>
      <xdr:col>12</xdr:col>
      <xdr:colOff>541612</xdr:colOff>
      <xdr:row>23</xdr:row>
      <xdr:rowOff>185266</xdr:rowOff>
    </xdr:to>
    <xdr:sp macro="" textlink="">
      <xdr:nvSpPr>
        <xdr:cNvPr id="18" name="正方形/長方形 17"/>
        <xdr:cNvSpPr/>
      </xdr:nvSpPr>
      <xdr:spPr>
        <a:xfrm>
          <a:off x="7802947" y="5446329"/>
          <a:ext cx="968265"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9</xdr:col>
      <xdr:colOff>374293</xdr:colOff>
      <xdr:row>33</xdr:row>
      <xdr:rowOff>202871</xdr:rowOff>
    </xdr:from>
    <xdr:to>
      <xdr:col>13</xdr:col>
      <xdr:colOff>172864</xdr:colOff>
      <xdr:row>35</xdr:row>
      <xdr:rowOff>130480</xdr:rowOff>
    </xdr:to>
    <xdr:sp macro="" textlink="">
      <xdr:nvSpPr>
        <xdr:cNvPr id="19" name="正方形/長方形 18"/>
        <xdr:cNvSpPr/>
      </xdr:nvSpPr>
      <xdr:spPr>
        <a:xfrm>
          <a:off x="6546493" y="8060996"/>
          <a:ext cx="2541771" cy="40385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9</xdr:col>
      <xdr:colOff>374950</xdr:colOff>
      <xdr:row>37</xdr:row>
      <xdr:rowOff>149832</xdr:rowOff>
    </xdr:from>
    <xdr:to>
      <xdr:col>13</xdr:col>
      <xdr:colOff>173521</xdr:colOff>
      <xdr:row>39</xdr:row>
      <xdr:rowOff>19975</xdr:rowOff>
    </xdr:to>
    <xdr:sp macro="" textlink="">
      <xdr:nvSpPr>
        <xdr:cNvPr id="20" name="正方形/長方形 19"/>
        <xdr:cNvSpPr/>
      </xdr:nvSpPr>
      <xdr:spPr>
        <a:xfrm>
          <a:off x="6547150" y="8960457"/>
          <a:ext cx="2541771"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満３歳児対応加配加算</a:t>
          </a:r>
        </a:p>
      </xdr:txBody>
    </xdr:sp>
    <xdr:clientData/>
  </xdr:twoCellAnchor>
  <xdr:twoCellAnchor>
    <xdr:from>
      <xdr:col>9</xdr:col>
      <xdr:colOff>384475</xdr:colOff>
      <xdr:row>41</xdr:row>
      <xdr:rowOff>225289</xdr:rowOff>
    </xdr:from>
    <xdr:to>
      <xdr:col>13</xdr:col>
      <xdr:colOff>183046</xdr:colOff>
      <xdr:row>43</xdr:row>
      <xdr:rowOff>104957</xdr:rowOff>
    </xdr:to>
    <xdr:sp macro="" textlink="">
      <xdr:nvSpPr>
        <xdr:cNvPr id="21" name="正方形/長方形 20"/>
        <xdr:cNvSpPr/>
      </xdr:nvSpPr>
      <xdr:spPr>
        <a:xfrm>
          <a:off x="6556675" y="9988414"/>
          <a:ext cx="2541771" cy="35591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20</xdr:col>
      <xdr:colOff>110377</xdr:colOff>
      <xdr:row>24</xdr:row>
      <xdr:rowOff>63244</xdr:rowOff>
    </xdr:from>
    <xdr:to>
      <xdr:col>24</xdr:col>
      <xdr:colOff>192695</xdr:colOff>
      <xdr:row>26</xdr:row>
      <xdr:rowOff>231321</xdr:rowOff>
    </xdr:to>
    <xdr:sp macro="" textlink="">
      <xdr:nvSpPr>
        <xdr:cNvPr id="22" name="正方形/長方形 21"/>
        <xdr:cNvSpPr/>
      </xdr:nvSpPr>
      <xdr:spPr>
        <a:xfrm>
          <a:off x="13816852" y="5778244"/>
          <a:ext cx="2825518" cy="644327"/>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療育支援のために主幹保育教諭等を補助する職員の配置</a:t>
          </a:r>
        </a:p>
      </xdr:txBody>
    </xdr:sp>
    <xdr:clientData/>
  </xdr:twoCellAnchor>
  <xdr:twoCellAnchor>
    <xdr:from>
      <xdr:col>9</xdr:col>
      <xdr:colOff>374950</xdr:colOff>
      <xdr:row>32</xdr:row>
      <xdr:rowOff>15403</xdr:rowOff>
    </xdr:from>
    <xdr:to>
      <xdr:col>13</xdr:col>
      <xdr:colOff>173521</xdr:colOff>
      <xdr:row>33</xdr:row>
      <xdr:rowOff>128000</xdr:rowOff>
    </xdr:to>
    <xdr:sp macro="" textlink="">
      <xdr:nvSpPr>
        <xdr:cNvPr id="23" name="正方形/長方形 22"/>
        <xdr:cNvSpPr/>
      </xdr:nvSpPr>
      <xdr:spPr>
        <a:xfrm>
          <a:off x="6547150" y="7635403"/>
          <a:ext cx="2541771" cy="35072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学級編成調整加配加算</a:t>
          </a:r>
        </a:p>
      </xdr:txBody>
    </xdr:sp>
    <xdr:clientData/>
  </xdr:twoCellAnchor>
  <xdr:twoCellAnchor>
    <xdr:from>
      <xdr:col>9</xdr:col>
      <xdr:colOff>385436</xdr:colOff>
      <xdr:row>29</xdr:row>
      <xdr:rowOff>154935</xdr:rowOff>
    </xdr:from>
    <xdr:to>
      <xdr:col>13</xdr:col>
      <xdr:colOff>184007</xdr:colOff>
      <xdr:row>31</xdr:row>
      <xdr:rowOff>25078</xdr:rowOff>
    </xdr:to>
    <xdr:sp macro="" textlink="">
      <xdr:nvSpPr>
        <xdr:cNvPr id="24" name="正方形/長方形 23"/>
        <xdr:cNvSpPr/>
      </xdr:nvSpPr>
      <xdr:spPr>
        <a:xfrm>
          <a:off x="6557636" y="7060560"/>
          <a:ext cx="2541771"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11</xdr:col>
      <xdr:colOff>272056</xdr:colOff>
      <xdr:row>4</xdr:row>
      <xdr:rowOff>229915</xdr:rowOff>
    </xdr:from>
    <xdr:to>
      <xdr:col>11</xdr:col>
      <xdr:colOff>273317</xdr:colOff>
      <xdr:row>8</xdr:row>
      <xdr:rowOff>36411</xdr:rowOff>
    </xdr:to>
    <xdr:cxnSp macro="">
      <xdr:nvCxnSpPr>
        <xdr:cNvPr id="25" name="カギ線コネクタ 39"/>
        <xdr:cNvCxnSpPr>
          <a:stCxn id="7" idx="2"/>
          <a:endCxn id="9" idx="0"/>
        </xdr:cNvCxnSpPr>
      </xdr:nvCxnSpPr>
      <xdr:spPr>
        <a:xfrm flipH="1">
          <a:off x="7815856" y="1182415"/>
          <a:ext cx="1261" cy="75899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284721</xdr:colOff>
      <xdr:row>26</xdr:row>
      <xdr:rowOff>231322</xdr:rowOff>
    </xdr:from>
    <xdr:to>
      <xdr:col>22</xdr:col>
      <xdr:colOff>151536</xdr:colOff>
      <xdr:row>29</xdr:row>
      <xdr:rowOff>154936</xdr:rowOff>
    </xdr:to>
    <xdr:cxnSp macro="">
      <xdr:nvCxnSpPr>
        <xdr:cNvPr id="26" name="カギ線コネクタ 25"/>
        <xdr:cNvCxnSpPr>
          <a:stCxn id="22" idx="2"/>
          <a:endCxn id="24" idx="0"/>
        </xdr:cNvCxnSpPr>
      </xdr:nvCxnSpPr>
      <xdr:spPr>
        <a:xfrm rot="5400000">
          <a:off x="11210071" y="3041022"/>
          <a:ext cx="637989" cy="7401090"/>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27</xdr:row>
      <xdr:rowOff>4805</xdr:rowOff>
    </xdr:from>
    <xdr:to>
      <xdr:col>9</xdr:col>
      <xdr:colOff>374293</xdr:colOff>
      <xdr:row>34</xdr:row>
      <xdr:rowOff>166676</xdr:rowOff>
    </xdr:to>
    <xdr:cxnSp macro="">
      <xdr:nvCxnSpPr>
        <xdr:cNvPr id="27" name="カギ線コネクタ 26"/>
        <xdr:cNvCxnSpPr>
          <a:stCxn id="43" idx="2"/>
          <a:endCxn id="19" idx="1"/>
        </xdr:cNvCxnSpPr>
      </xdr:nvCxnSpPr>
      <xdr:spPr>
        <a:xfrm rot="16200000" flipH="1">
          <a:off x="3223983" y="4940416"/>
          <a:ext cx="1828746"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38</xdr:row>
      <xdr:rowOff>84904</xdr:rowOff>
    </xdr:to>
    <xdr:cxnSp macro="">
      <xdr:nvCxnSpPr>
        <xdr:cNvPr id="28" name="カギ線コネクタ 27"/>
        <xdr:cNvCxnSpPr>
          <a:stCxn id="43" idx="2"/>
          <a:endCxn id="20" idx="1"/>
        </xdr:cNvCxnSpPr>
      </xdr:nvCxnSpPr>
      <xdr:spPr>
        <a:xfrm rot="16200000" flipH="1">
          <a:off x="2722497" y="5532113"/>
          <a:ext cx="2747133" cy="476268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26</xdr:row>
      <xdr:rowOff>239668</xdr:rowOff>
    </xdr:from>
    <xdr:to>
      <xdr:col>9</xdr:col>
      <xdr:colOff>384475</xdr:colOff>
      <xdr:row>42</xdr:row>
      <xdr:rowOff>165124</xdr:rowOff>
    </xdr:to>
    <xdr:cxnSp macro="">
      <xdr:nvCxnSpPr>
        <xdr:cNvPr id="29" name="カギ線コネクタ 28"/>
        <xdr:cNvCxnSpPr>
          <a:stCxn id="43" idx="2"/>
          <a:endCxn id="21" idx="1"/>
        </xdr:cNvCxnSpPr>
      </xdr:nvCxnSpPr>
      <xdr:spPr>
        <a:xfrm rot="16200000" flipH="1">
          <a:off x="2275719" y="5885418"/>
          <a:ext cx="3735456" cy="4826456"/>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32</xdr:row>
      <xdr:rowOff>190764</xdr:rowOff>
    </xdr:to>
    <xdr:cxnSp macro="">
      <xdr:nvCxnSpPr>
        <xdr:cNvPr id="30" name="カギ線コネクタ 29"/>
        <xdr:cNvCxnSpPr>
          <a:stCxn id="43" idx="2"/>
          <a:endCxn id="23" idx="1"/>
        </xdr:cNvCxnSpPr>
      </xdr:nvCxnSpPr>
      <xdr:spPr>
        <a:xfrm rot="16200000" flipH="1">
          <a:off x="3448761" y="4712375"/>
          <a:ext cx="137984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374293</xdr:colOff>
      <xdr:row>40</xdr:row>
      <xdr:rowOff>9898</xdr:rowOff>
    </xdr:from>
    <xdr:to>
      <xdr:col>13</xdr:col>
      <xdr:colOff>172864</xdr:colOff>
      <xdr:row>41</xdr:row>
      <xdr:rowOff>124969</xdr:rowOff>
    </xdr:to>
    <xdr:sp macro="" textlink="">
      <xdr:nvSpPr>
        <xdr:cNvPr id="31" name="正方形/長方形 30"/>
        <xdr:cNvSpPr/>
      </xdr:nvSpPr>
      <xdr:spPr>
        <a:xfrm>
          <a:off x="6546493" y="9534898"/>
          <a:ext cx="2541771" cy="35319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講師配置加算</a:t>
          </a:r>
        </a:p>
      </xdr:txBody>
    </xdr:sp>
    <xdr:clientData/>
  </xdr:twoCellAnchor>
  <xdr:twoCellAnchor>
    <xdr:from>
      <xdr:col>9</xdr:col>
      <xdr:colOff>382833</xdr:colOff>
      <xdr:row>51</xdr:row>
      <xdr:rowOff>13693</xdr:rowOff>
    </xdr:from>
    <xdr:to>
      <xdr:col>13</xdr:col>
      <xdr:colOff>181404</xdr:colOff>
      <xdr:row>52</xdr:row>
      <xdr:rowOff>120318</xdr:rowOff>
    </xdr:to>
    <xdr:sp macro="" textlink="">
      <xdr:nvSpPr>
        <xdr:cNvPr id="32" name="正方形/長方形 31"/>
        <xdr:cNvSpPr/>
      </xdr:nvSpPr>
      <xdr:spPr>
        <a:xfrm>
          <a:off x="6555033" y="12158068"/>
          <a:ext cx="2541771" cy="34475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a:t>
          </a:r>
        </a:p>
      </xdr:txBody>
    </xdr:sp>
    <xdr:clientData/>
  </xdr:twoCellAnchor>
  <xdr:twoCellAnchor>
    <xdr:from>
      <xdr:col>15</xdr:col>
      <xdr:colOff>168088</xdr:colOff>
      <xdr:row>46</xdr:row>
      <xdr:rowOff>68976</xdr:rowOff>
    </xdr:from>
    <xdr:to>
      <xdr:col>18</xdr:col>
      <xdr:colOff>647017</xdr:colOff>
      <xdr:row>47</xdr:row>
      <xdr:rowOff>184048</xdr:rowOff>
    </xdr:to>
    <xdr:sp macro="" textlink="">
      <xdr:nvSpPr>
        <xdr:cNvPr id="33" name="正方形/長方形 32"/>
        <xdr:cNvSpPr/>
      </xdr:nvSpPr>
      <xdr:spPr>
        <a:xfrm>
          <a:off x="10445563" y="11022726"/>
          <a:ext cx="2536329" cy="353197"/>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15</xdr:col>
      <xdr:colOff>166407</xdr:colOff>
      <xdr:row>48</xdr:row>
      <xdr:rowOff>22748</xdr:rowOff>
    </xdr:from>
    <xdr:to>
      <xdr:col>18</xdr:col>
      <xdr:colOff>645336</xdr:colOff>
      <xdr:row>49</xdr:row>
      <xdr:rowOff>140295</xdr:rowOff>
    </xdr:to>
    <xdr:sp macro="" textlink="">
      <xdr:nvSpPr>
        <xdr:cNvPr id="34" name="正方形/長方形 33"/>
        <xdr:cNvSpPr/>
      </xdr:nvSpPr>
      <xdr:spPr>
        <a:xfrm>
          <a:off x="10443882" y="11452748"/>
          <a:ext cx="2536329" cy="35567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高齢者等活躍促進加算</a:t>
          </a:r>
        </a:p>
      </xdr:txBody>
    </xdr:sp>
    <xdr:clientData/>
  </xdr:twoCellAnchor>
  <xdr:twoCellAnchor>
    <xdr:from>
      <xdr:col>1</xdr:col>
      <xdr:colOff>3201</xdr:colOff>
      <xdr:row>50</xdr:row>
      <xdr:rowOff>209414</xdr:rowOff>
    </xdr:from>
    <xdr:to>
      <xdr:col>5</xdr:col>
      <xdr:colOff>3201</xdr:colOff>
      <xdr:row>52</xdr:row>
      <xdr:rowOff>114242</xdr:rowOff>
    </xdr:to>
    <xdr:sp macro="" textlink="">
      <xdr:nvSpPr>
        <xdr:cNvPr id="35" name="正方形/長方形 34"/>
        <xdr:cNvSpPr/>
      </xdr:nvSpPr>
      <xdr:spPr>
        <a:xfrm>
          <a:off x="689001" y="12115664"/>
          <a:ext cx="2743200" cy="38107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基本分を超えた事務職員の配置</a:t>
          </a:r>
        </a:p>
      </xdr:txBody>
    </xdr:sp>
    <xdr:clientData/>
  </xdr:twoCellAnchor>
  <xdr:twoCellAnchor>
    <xdr:from>
      <xdr:col>18</xdr:col>
      <xdr:colOff>645337</xdr:colOff>
      <xdr:row>18</xdr:row>
      <xdr:rowOff>124813</xdr:rowOff>
    </xdr:from>
    <xdr:to>
      <xdr:col>27</xdr:col>
      <xdr:colOff>6570</xdr:colOff>
      <xdr:row>48</xdr:row>
      <xdr:rowOff>199763</xdr:rowOff>
    </xdr:to>
    <xdr:cxnSp macro="">
      <xdr:nvCxnSpPr>
        <xdr:cNvPr id="36" name="カギ線コネクタ 35"/>
        <xdr:cNvCxnSpPr>
          <a:endCxn id="34" idx="3"/>
        </xdr:cNvCxnSpPr>
      </xdr:nvCxnSpPr>
      <xdr:spPr>
        <a:xfrm rot="5400000">
          <a:off x="12137579" y="5253696"/>
          <a:ext cx="7218700" cy="5533433"/>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647018</xdr:colOff>
      <xdr:row>22</xdr:row>
      <xdr:rowOff>19706</xdr:rowOff>
    </xdr:from>
    <xdr:to>
      <xdr:col>26</xdr:col>
      <xdr:colOff>6570</xdr:colOff>
      <xdr:row>47</xdr:row>
      <xdr:rowOff>8270</xdr:rowOff>
    </xdr:to>
    <xdr:cxnSp macro="">
      <xdr:nvCxnSpPr>
        <xdr:cNvPr id="37" name="カギ線コネクタ 36"/>
        <xdr:cNvCxnSpPr>
          <a:endCxn id="33" idx="3"/>
        </xdr:cNvCxnSpPr>
      </xdr:nvCxnSpPr>
      <xdr:spPr>
        <a:xfrm rot="5400000">
          <a:off x="12434024" y="5806325"/>
          <a:ext cx="5941689" cy="4845952"/>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xdr:row>
      <xdr:rowOff>95117</xdr:rowOff>
    </xdr:from>
    <xdr:to>
      <xdr:col>4</xdr:col>
      <xdr:colOff>44012</xdr:colOff>
      <xdr:row>4</xdr:row>
      <xdr:rowOff>224904</xdr:rowOff>
    </xdr:to>
    <xdr:sp macro="" textlink="">
      <xdr:nvSpPr>
        <xdr:cNvPr id="38" name="正方形/長方形 37"/>
        <xdr:cNvSpPr/>
      </xdr:nvSpPr>
      <xdr:spPr>
        <a:xfrm>
          <a:off x="685800" y="809492"/>
          <a:ext cx="2101412" cy="36791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その他保育教諭の配置</a:t>
          </a:r>
        </a:p>
      </xdr:txBody>
    </xdr:sp>
    <xdr:clientData/>
  </xdr:twoCellAnchor>
  <xdr:twoCellAnchor>
    <xdr:from>
      <xdr:col>0</xdr:col>
      <xdr:colOff>122465</xdr:colOff>
      <xdr:row>19</xdr:row>
      <xdr:rowOff>0</xdr:rowOff>
    </xdr:from>
    <xdr:to>
      <xdr:col>4</xdr:col>
      <xdr:colOff>598714</xdr:colOff>
      <xdr:row>20</xdr:row>
      <xdr:rowOff>176893</xdr:rowOff>
    </xdr:to>
    <xdr:sp macro="" textlink="">
      <xdr:nvSpPr>
        <xdr:cNvPr id="39" name="正方形/長方形 38"/>
        <xdr:cNvSpPr/>
      </xdr:nvSpPr>
      <xdr:spPr>
        <a:xfrm>
          <a:off x="122465" y="4524375"/>
          <a:ext cx="3219449" cy="41501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2</xdr:col>
      <xdr:colOff>360590</xdr:colOff>
      <xdr:row>4</xdr:row>
      <xdr:rowOff>224904</xdr:rowOff>
    </xdr:from>
    <xdr:to>
      <xdr:col>2</xdr:col>
      <xdr:colOff>362185</xdr:colOff>
      <xdr:row>19</xdr:row>
      <xdr:rowOff>0</xdr:rowOff>
    </xdr:to>
    <xdr:cxnSp macro="">
      <xdr:nvCxnSpPr>
        <xdr:cNvPr id="40" name="カギ線コネクタ 39"/>
        <xdr:cNvCxnSpPr>
          <a:stCxn id="38" idx="2"/>
          <a:endCxn id="39" idx="0"/>
        </xdr:cNvCxnSpPr>
      </xdr:nvCxnSpPr>
      <xdr:spPr>
        <a:xfrm flipH="1">
          <a:off x="1732190" y="1177404"/>
          <a:ext cx="1595" cy="334697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47592</xdr:rowOff>
    </xdr:from>
    <xdr:to>
      <xdr:col>9</xdr:col>
      <xdr:colOff>231324</xdr:colOff>
      <xdr:row>7</xdr:row>
      <xdr:rowOff>3140</xdr:rowOff>
    </xdr:to>
    <xdr:cxnSp macro="">
      <xdr:nvCxnSpPr>
        <xdr:cNvPr id="41" name="カギ線コネクタ 40"/>
        <xdr:cNvCxnSpPr>
          <a:stCxn id="7" idx="1"/>
          <a:endCxn id="44" idx="3"/>
        </xdr:cNvCxnSpPr>
      </xdr:nvCxnSpPr>
      <xdr:spPr>
        <a:xfrm rot="10800000" flipV="1">
          <a:off x="1753052" y="1000092"/>
          <a:ext cx="4650472" cy="669923"/>
        </a:xfrm>
        <a:prstGeom prst="bentConnector3">
          <a:avLst>
            <a:gd name="adj1" fmla="val 1000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47436</xdr:rowOff>
    </xdr:from>
    <xdr:to>
      <xdr:col>15</xdr:col>
      <xdr:colOff>6855</xdr:colOff>
      <xdr:row>7</xdr:row>
      <xdr:rowOff>3139</xdr:rowOff>
    </xdr:to>
    <xdr:cxnSp macro="">
      <xdr:nvCxnSpPr>
        <xdr:cNvPr id="42" name="カギ線コネクタ 41"/>
        <xdr:cNvCxnSpPr>
          <a:stCxn id="8" idx="1"/>
          <a:endCxn id="44" idx="3"/>
        </xdr:cNvCxnSpPr>
      </xdr:nvCxnSpPr>
      <xdr:spPr>
        <a:xfrm rot="10800000" flipV="1">
          <a:off x="1753052" y="999936"/>
          <a:ext cx="8531278" cy="670078"/>
        </a:xfrm>
        <a:prstGeom prst="bentConnector3">
          <a:avLst>
            <a:gd name="adj1" fmla="val 656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99333</xdr:colOff>
      <xdr:row>24</xdr:row>
      <xdr:rowOff>9525</xdr:rowOff>
    </xdr:from>
    <xdr:to>
      <xdr:col>4</xdr:col>
      <xdr:colOff>617904</xdr:colOff>
      <xdr:row>26</xdr:row>
      <xdr:rowOff>239668</xdr:rowOff>
    </xdr:to>
    <xdr:sp macro="" textlink="">
      <xdr:nvSpPr>
        <xdr:cNvPr id="43" name="正方形/長方形 42"/>
        <xdr:cNvSpPr/>
      </xdr:nvSpPr>
      <xdr:spPr>
        <a:xfrm>
          <a:off x="99333" y="5724525"/>
          <a:ext cx="3261771" cy="706393"/>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基本分単価における必要保育教諭等の数を満たしている</a:t>
          </a:r>
        </a:p>
      </xdr:txBody>
    </xdr:sp>
    <xdr:clientData/>
  </xdr:twoCellAnchor>
  <xdr:twoCellAnchor>
    <xdr:from>
      <xdr:col>2</xdr:col>
      <xdr:colOff>345451</xdr:colOff>
      <xdr:row>6</xdr:row>
      <xdr:rowOff>222443</xdr:rowOff>
    </xdr:from>
    <xdr:to>
      <xdr:col>2</xdr:col>
      <xdr:colOff>381451</xdr:colOff>
      <xdr:row>7</xdr:row>
      <xdr:rowOff>20318</xdr:rowOff>
    </xdr:to>
    <xdr:sp macro="" textlink="">
      <xdr:nvSpPr>
        <xdr:cNvPr id="44" name="正方形/長方形 43"/>
        <xdr:cNvSpPr/>
      </xdr:nvSpPr>
      <xdr:spPr>
        <a:xfrm>
          <a:off x="1717051" y="1651193"/>
          <a:ext cx="36000" cy="36000"/>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216777</xdr:colOff>
      <xdr:row>7</xdr:row>
      <xdr:rowOff>201239</xdr:rowOff>
    </xdr:from>
    <xdr:to>
      <xdr:col>8</xdr:col>
      <xdr:colOff>186560</xdr:colOff>
      <xdr:row>11</xdr:row>
      <xdr:rowOff>1561</xdr:rowOff>
    </xdr:to>
    <xdr:grpSp>
      <xdr:nvGrpSpPr>
        <xdr:cNvPr id="45" name="グループ化 44"/>
        <xdr:cNvGrpSpPr/>
      </xdr:nvGrpSpPr>
      <xdr:grpSpPr>
        <a:xfrm>
          <a:off x="2956552" y="1849385"/>
          <a:ext cx="2709559" cy="742120"/>
          <a:chOff x="3429000" y="1197517"/>
          <a:chExt cx="2101412" cy="456136"/>
        </a:xfrm>
      </xdr:grpSpPr>
      <xdr:sp macro="" textlink="">
        <xdr:nvSpPr>
          <xdr:cNvPr id="46" name="正方形/長方形 45"/>
          <xdr:cNvSpPr/>
        </xdr:nvSpPr>
        <xdr:spPr>
          <a:xfrm>
            <a:off x="3429000" y="1197517"/>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休けい保育教諭の配置</a:t>
            </a:r>
          </a:p>
        </xdr:txBody>
      </xdr:sp>
      <xdr:sp macro="" textlink="">
        <xdr:nvSpPr>
          <xdr:cNvPr id="47" name="正方形/長方形 46"/>
          <xdr:cNvSpPr/>
        </xdr:nvSpPr>
        <xdr:spPr>
          <a:xfrm>
            <a:off x="3429000" y="1428750"/>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保育標準時間対応保育教諭の配置</a:t>
            </a:r>
          </a:p>
        </xdr:txBody>
      </xdr:sp>
    </xdr:grpSp>
    <xdr:clientData/>
  </xdr:twoCellAnchor>
  <xdr:twoCellAnchor>
    <xdr:from>
      <xdr:col>6</xdr:col>
      <xdr:colOff>187211</xdr:colOff>
      <xdr:row>11</xdr:row>
      <xdr:rowOff>228600</xdr:rowOff>
    </xdr:from>
    <xdr:to>
      <xdr:col>6</xdr:col>
      <xdr:colOff>223211</xdr:colOff>
      <xdr:row>12</xdr:row>
      <xdr:rowOff>26475</xdr:rowOff>
    </xdr:to>
    <xdr:sp macro="" textlink="">
      <xdr:nvSpPr>
        <xdr:cNvPr id="48" name="正方形/長方形 47"/>
        <xdr:cNvSpPr/>
      </xdr:nvSpPr>
      <xdr:spPr>
        <a:xfrm>
          <a:off x="4302011" y="2847975"/>
          <a:ext cx="36000" cy="36000"/>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223211</xdr:colOff>
      <xdr:row>9</xdr:row>
      <xdr:rowOff>135737</xdr:rowOff>
    </xdr:from>
    <xdr:to>
      <xdr:col>9</xdr:col>
      <xdr:colOff>230902</xdr:colOff>
      <xdr:row>12</xdr:row>
      <xdr:rowOff>5073</xdr:rowOff>
    </xdr:to>
    <xdr:cxnSp macro="">
      <xdr:nvCxnSpPr>
        <xdr:cNvPr id="49" name="カギ線コネクタ 48"/>
        <xdr:cNvCxnSpPr>
          <a:stCxn id="9" idx="1"/>
          <a:endCxn id="48" idx="3"/>
        </xdr:cNvCxnSpPr>
      </xdr:nvCxnSpPr>
      <xdr:spPr>
        <a:xfrm rot="10800000" flipV="1">
          <a:off x="4338011" y="2278862"/>
          <a:ext cx="2065091" cy="583711"/>
        </a:xfrm>
        <a:prstGeom prst="bentConnector3">
          <a:avLst>
            <a:gd name="adj1" fmla="val 23433"/>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223212</xdr:colOff>
      <xdr:row>9</xdr:row>
      <xdr:rowOff>125901</xdr:rowOff>
    </xdr:from>
    <xdr:to>
      <xdr:col>15</xdr:col>
      <xdr:colOff>4075</xdr:colOff>
      <xdr:row>12</xdr:row>
      <xdr:rowOff>5073</xdr:rowOff>
    </xdr:to>
    <xdr:cxnSp macro="">
      <xdr:nvCxnSpPr>
        <xdr:cNvPr id="50" name="カギ線コネクタ 49"/>
        <xdr:cNvCxnSpPr>
          <a:stCxn id="10" idx="1"/>
          <a:endCxn id="48" idx="3"/>
        </xdr:cNvCxnSpPr>
      </xdr:nvCxnSpPr>
      <xdr:spPr>
        <a:xfrm rot="10800000" flipV="1">
          <a:off x="4338012" y="2269026"/>
          <a:ext cx="5943538" cy="593547"/>
        </a:xfrm>
        <a:prstGeom prst="bentConnector3">
          <a:avLst>
            <a:gd name="adj1" fmla="val 8976"/>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20</xdr:row>
      <xdr:rowOff>176893</xdr:rowOff>
    </xdr:from>
    <xdr:to>
      <xdr:col>2</xdr:col>
      <xdr:colOff>360590</xdr:colOff>
      <xdr:row>24</xdr:row>
      <xdr:rowOff>9525</xdr:rowOff>
    </xdr:to>
    <xdr:cxnSp macro="">
      <xdr:nvCxnSpPr>
        <xdr:cNvPr id="51" name="カギ線コネクタ 39"/>
        <xdr:cNvCxnSpPr>
          <a:stCxn id="39" idx="2"/>
          <a:endCxn id="43" idx="0"/>
        </xdr:cNvCxnSpPr>
      </xdr:nvCxnSpPr>
      <xdr:spPr>
        <a:xfrm flipH="1">
          <a:off x="1730219" y="4939393"/>
          <a:ext cx="1971" cy="78513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617905</xdr:colOff>
      <xdr:row>11</xdr:row>
      <xdr:rowOff>1561</xdr:rowOff>
    </xdr:from>
    <xdr:to>
      <xdr:col>6</xdr:col>
      <xdr:colOff>201670</xdr:colOff>
      <xdr:row>25</xdr:row>
      <xdr:rowOff>124596</xdr:rowOff>
    </xdr:to>
    <xdr:cxnSp macro="">
      <xdr:nvCxnSpPr>
        <xdr:cNvPr id="52" name="カギ線コネクタ 51"/>
        <xdr:cNvCxnSpPr>
          <a:stCxn id="47" idx="2"/>
          <a:endCxn id="43" idx="3"/>
        </xdr:cNvCxnSpPr>
      </xdr:nvCxnSpPr>
      <xdr:spPr>
        <a:xfrm rot="5400000">
          <a:off x="2110395" y="3871646"/>
          <a:ext cx="3456785" cy="955365"/>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3201</xdr:colOff>
      <xdr:row>51</xdr:row>
      <xdr:rowOff>161828</xdr:rowOff>
    </xdr:from>
    <xdr:to>
      <xdr:col>9</xdr:col>
      <xdr:colOff>382833</xdr:colOff>
      <xdr:row>51</xdr:row>
      <xdr:rowOff>185247</xdr:rowOff>
    </xdr:to>
    <xdr:cxnSp macro="">
      <xdr:nvCxnSpPr>
        <xdr:cNvPr id="53" name="カギ線コネクタ 86"/>
        <xdr:cNvCxnSpPr>
          <a:stCxn id="35" idx="3"/>
          <a:endCxn id="32" idx="1"/>
        </xdr:cNvCxnSpPr>
      </xdr:nvCxnSpPr>
      <xdr:spPr>
        <a:xfrm>
          <a:off x="3432201" y="12306203"/>
          <a:ext cx="3122832" cy="2341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26</xdr:row>
      <xdr:rowOff>239667</xdr:rowOff>
    </xdr:from>
    <xdr:to>
      <xdr:col>9</xdr:col>
      <xdr:colOff>374294</xdr:colOff>
      <xdr:row>40</xdr:row>
      <xdr:rowOff>189897</xdr:rowOff>
    </xdr:to>
    <xdr:cxnSp macro="">
      <xdr:nvCxnSpPr>
        <xdr:cNvPr id="54" name="カギ線コネクタ 53"/>
        <xdr:cNvCxnSpPr>
          <a:stCxn id="43" idx="2"/>
          <a:endCxn id="31" idx="1"/>
        </xdr:cNvCxnSpPr>
      </xdr:nvCxnSpPr>
      <xdr:spPr>
        <a:xfrm rot="16200000" flipH="1">
          <a:off x="2496367" y="5664770"/>
          <a:ext cx="3283980"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147939</xdr:colOff>
      <xdr:row>29</xdr:row>
      <xdr:rowOff>154935</xdr:rowOff>
    </xdr:from>
    <xdr:to>
      <xdr:col>18</xdr:col>
      <xdr:colOff>626867</xdr:colOff>
      <xdr:row>31</xdr:row>
      <xdr:rowOff>25078</xdr:rowOff>
    </xdr:to>
    <xdr:sp macro="" textlink="">
      <xdr:nvSpPr>
        <xdr:cNvPr id="55" name="正方形/長方形 54"/>
        <xdr:cNvSpPr/>
      </xdr:nvSpPr>
      <xdr:spPr>
        <a:xfrm>
          <a:off x="10425414" y="7060560"/>
          <a:ext cx="2536328"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17</xdr:col>
      <xdr:colOff>43038</xdr:colOff>
      <xdr:row>27</xdr:row>
      <xdr:rowOff>9252</xdr:rowOff>
    </xdr:from>
    <xdr:to>
      <xdr:col>17</xdr:col>
      <xdr:colOff>48904</xdr:colOff>
      <xdr:row>29</xdr:row>
      <xdr:rowOff>154935</xdr:rowOff>
    </xdr:to>
    <xdr:cxnSp macro="">
      <xdr:nvCxnSpPr>
        <xdr:cNvPr id="56" name="カギ線コネクタ 28"/>
        <xdr:cNvCxnSpPr>
          <a:stCxn id="61" idx="2"/>
          <a:endCxn id="55" idx="0"/>
        </xdr:cNvCxnSpPr>
      </xdr:nvCxnSpPr>
      <xdr:spPr>
        <a:xfrm flipH="1">
          <a:off x="11692113" y="6438627"/>
          <a:ext cx="5866" cy="62193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284688</xdr:colOff>
      <xdr:row>27</xdr:row>
      <xdr:rowOff>3843</xdr:rowOff>
    </xdr:from>
    <xdr:to>
      <xdr:col>11</xdr:col>
      <xdr:colOff>284722</xdr:colOff>
      <xdr:row>29</xdr:row>
      <xdr:rowOff>154935</xdr:rowOff>
    </xdr:to>
    <xdr:cxnSp macro="">
      <xdr:nvCxnSpPr>
        <xdr:cNvPr id="57" name="カギ線コネクタ 28"/>
        <xdr:cNvCxnSpPr>
          <a:stCxn id="15" idx="2"/>
          <a:endCxn id="24" idx="0"/>
        </xdr:cNvCxnSpPr>
      </xdr:nvCxnSpPr>
      <xdr:spPr>
        <a:xfrm>
          <a:off x="7828488" y="6433218"/>
          <a:ext cx="34" cy="627342"/>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170843</xdr:colOff>
      <xdr:row>41</xdr:row>
      <xdr:rowOff>225289</xdr:rowOff>
    </xdr:from>
    <xdr:to>
      <xdr:col>18</xdr:col>
      <xdr:colOff>649771</xdr:colOff>
      <xdr:row>43</xdr:row>
      <xdr:rowOff>95432</xdr:rowOff>
    </xdr:to>
    <xdr:sp macro="" textlink="">
      <xdr:nvSpPr>
        <xdr:cNvPr id="58" name="正方形/長方形 57"/>
        <xdr:cNvSpPr/>
      </xdr:nvSpPr>
      <xdr:spPr>
        <a:xfrm>
          <a:off x="10448318" y="9988414"/>
          <a:ext cx="2536328"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15</xdr:col>
      <xdr:colOff>170186</xdr:colOff>
      <xdr:row>33</xdr:row>
      <xdr:rowOff>202871</xdr:rowOff>
    </xdr:from>
    <xdr:to>
      <xdr:col>18</xdr:col>
      <xdr:colOff>649114</xdr:colOff>
      <xdr:row>35</xdr:row>
      <xdr:rowOff>130480</xdr:rowOff>
    </xdr:to>
    <xdr:sp macro="" textlink="">
      <xdr:nvSpPr>
        <xdr:cNvPr id="59" name="正方形/長方形 58"/>
        <xdr:cNvSpPr/>
      </xdr:nvSpPr>
      <xdr:spPr>
        <a:xfrm>
          <a:off x="10447661" y="8060996"/>
          <a:ext cx="2536328" cy="40385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13</xdr:col>
      <xdr:colOff>172864</xdr:colOff>
      <xdr:row>34</xdr:row>
      <xdr:rowOff>166676</xdr:rowOff>
    </xdr:from>
    <xdr:to>
      <xdr:col>15</xdr:col>
      <xdr:colOff>170186</xdr:colOff>
      <xdr:row>34</xdr:row>
      <xdr:rowOff>166676</xdr:rowOff>
    </xdr:to>
    <xdr:cxnSp macro="">
      <xdr:nvCxnSpPr>
        <xdr:cNvPr id="60" name="カギ線コネクタ 422"/>
        <xdr:cNvCxnSpPr>
          <a:stCxn id="19" idx="3"/>
          <a:endCxn id="59" idx="1"/>
        </xdr:cNvCxnSpPr>
      </xdr:nvCxnSpPr>
      <xdr:spPr>
        <a:xfrm>
          <a:off x="9088264" y="8262926"/>
          <a:ext cx="135939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461424</xdr:colOff>
      <xdr:row>24</xdr:row>
      <xdr:rowOff>15591</xdr:rowOff>
    </xdr:from>
    <xdr:to>
      <xdr:col>19</xdr:col>
      <xdr:colOff>310459</xdr:colOff>
      <xdr:row>27</xdr:row>
      <xdr:rowOff>9252</xdr:rowOff>
    </xdr:to>
    <xdr:sp macro="" textlink="">
      <xdr:nvSpPr>
        <xdr:cNvPr id="61" name="正方形/長方形 60"/>
        <xdr:cNvSpPr/>
      </xdr:nvSpPr>
      <xdr:spPr>
        <a:xfrm>
          <a:off x="10062624" y="5730591"/>
          <a:ext cx="3268510" cy="70803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主幹教諭等の専任化により子育て支援の取組みを実施している（２・３号）</a:t>
          </a:r>
        </a:p>
      </xdr:txBody>
    </xdr:sp>
    <xdr:clientData/>
  </xdr:twoCellAnchor>
  <xdr:twoCellAnchor>
    <xdr:from>
      <xdr:col>11</xdr:col>
      <xdr:colOff>2</xdr:colOff>
      <xdr:row>0</xdr:row>
      <xdr:rowOff>145675</xdr:rowOff>
    </xdr:from>
    <xdr:to>
      <xdr:col>12</xdr:col>
      <xdr:colOff>56031</xdr:colOff>
      <xdr:row>2</xdr:row>
      <xdr:rowOff>89647</xdr:rowOff>
    </xdr:to>
    <xdr:sp macro="" textlink="">
      <xdr:nvSpPr>
        <xdr:cNvPr id="62" name="正方形/長方形 61"/>
        <xdr:cNvSpPr/>
      </xdr:nvSpPr>
      <xdr:spPr>
        <a:xfrm>
          <a:off x="7543802" y="145675"/>
          <a:ext cx="741829" cy="4202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１号</a:t>
          </a:r>
        </a:p>
      </xdr:txBody>
    </xdr:sp>
    <xdr:clientData/>
  </xdr:twoCellAnchor>
  <xdr:twoCellAnchor>
    <xdr:from>
      <xdr:col>16</xdr:col>
      <xdr:colOff>342901</xdr:colOff>
      <xdr:row>0</xdr:row>
      <xdr:rowOff>141192</xdr:rowOff>
    </xdr:from>
    <xdr:to>
      <xdr:col>18</xdr:col>
      <xdr:colOff>44822</xdr:colOff>
      <xdr:row>2</xdr:row>
      <xdr:rowOff>85164</xdr:rowOff>
    </xdr:to>
    <xdr:sp macro="" textlink="">
      <xdr:nvSpPr>
        <xdr:cNvPr id="63" name="正方形/長方形 62"/>
        <xdr:cNvSpPr/>
      </xdr:nvSpPr>
      <xdr:spPr>
        <a:xfrm>
          <a:off x="11306176" y="141192"/>
          <a:ext cx="1073521" cy="4202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２・３号</a:t>
          </a:r>
        </a:p>
      </xdr:txBody>
    </xdr:sp>
    <xdr:clientData/>
  </xdr:twoCellAnchor>
  <xdr:twoCellAnchor>
    <xdr:from>
      <xdr:col>19</xdr:col>
      <xdr:colOff>506666</xdr:colOff>
      <xdr:row>3</xdr:row>
      <xdr:rowOff>170489</xdr:rowOff>
    </xdr:from>
    <xdr:to>
      <xdr:col>22</xdr:col>
      <xdr:colOff>204108</xdr:colOff>
      <xdr:row>5</xdr:row>
      <xdr:rowOff>103253</xdr:rowOff>
    </xdr:to>
    <xdr:sp macro="" textlink="">
      <xdr:nvSpPr>
        <xdr:cNvPr id="64" name="正方形/長方形 63"/>
        <xdr:cNvSpPr/>
      </xdr:nvSpPr>
      <xdr:spPr>
        <a:xfrm>
          <a:off x="13527341" y="884864"/>
          <a:ext cx="1754842" cy="4090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clientData/>
  </xdr:twoCellAnchor>
  <xdr:twoCellAnchor>
    <xdr:from>
      <xdr:col>20</xdr:col>
      <xdr:colOff>327691</xdr:colOff>
      <xdr:row>8</xdr:row>
      <xdr:rowOff>208430</xdr:rowOff>
    </xdr:from>
    <xdr:to>
      <xdr:col>21</xdr:col>
      <xdr:colOff>545085</xdr:colOff>
      <xdr:row>10</xdr:row>
      <xdr:rowOff>141194</xdr:rowOff>
    </xdr:to>
    <xdr:sp macro="" textlink="">
      <xdr:nvSpPr>
        <xdr:cNvPr id="65" name="正方形/長方形 64"/>
        <xdr:cNvSpPr/>
      </xdr:nvSpPr>
      <xdr:spPr>
        <a:xfrm>
          <a:off x="14034166" y="2113430"/>
          <a:ext cx="903194" cy="4090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clientData/>
  </xdr:twoCellAnchor>
  <xdr:twoCellAnchor>
    <xdr:from>
      <xdr:col>23</xdr:col>
      <xdr:colOff>184419</xdr:colOff>
      <xdr:row>5</xdr:row>
      <xdr:rowOff>152400</xdr:rowOff>
    </xdr:from>
    <xdr:to>
      <xdr:col>26</xdr:col>
      <xdr:colOff>267342</xdr:colOff>
      <xdr:row>9</xdr:row>
      <xdr:rowOff>145676</xdr:rowOff>
    </xdr:to>
    <xdr:sp macro="" textlink="">
      <xdr:nvSpPr>
        <xdr:cNvPr id="66" name="正方形/長方形 65"/>
        <xdr:cNvSpPr/>
      </xdr:nvSpPr>
      <xdr:spPr>
        <a:xfrm>
          <a:off x="15948294" y="1343025"/>
          <a:ext cx="2140323" cy="9457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必要保育教諭等</a:t>
          </a:r>
        </a:p>
      </xdr:txBody>
    </xdr:sp>
    <xdr:clientData/>
  </xdr:twoCellAnchor>
  <xdr:twoCellAnchor>
    <xdr:from>
      <xdr:col>22</xdr:col>
      <xdr:colOff>177695</xdr:colOff>
      <xdr:row>2</xdr:row>
      <xdr:rowOff>134471</xdr:rowOff>
    </xdr:from>
    <xdr:to>
      <xdr:col>23</xdr:col>
      <xdr:colOff>244930</xdr:colOff>
      <xdr:row>10</xdr:row>
      <xdr:rowOff>212911</xdr:rowOff>
    </xdr:to>
    <xdr:sp macro="" textlink="">
      <xdr:nvSpPr>
        <xdr:cNvPr id="67" name="右中かっこ 66"/>
        <xdr:cNvSpPr/>
      </xdr:nvSpPr>
      <xdr:spPr>
        <a:xfrm>
          <a:off x="15255770" y="610721"/>
          <a:ext cx="753035" cy="198344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22412</xdr:colOff>
      <xdr:row>49</xdr:row>
      <xdr:rowOff>221497</xdr:rowOff>
    </xdr:from>
    <xdr:to>
      <xdr:col>4</xdr:col>
      <xdr:colOff>324971</xdr:colOff>
      <xdr:row>51</xdr:row>
      <xdr:rowOff>113281</xdr:rowOff>
    </xdr:to>
    <xdr:sp macro="" textlink="">
      <xdr:nvSpPr>
        <xdr:cNvPr id="68" name="正方形/長方形 67"/>
        <xdr:cNvSpPr/>
      </xdr:nvSpPr>
      <xdr:spPr>
        <a:xfrm>
          <a:off x="708212" y="11889622"/>
          <a:ext cx="2359959" cy="36803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２・３号利用定員９１人以上</a:t>
          </a:r>
        </a:p>
      </xdr:txBody>
    </xdr:sp>
    <xdr:clientData/>
  </xdr:twoCellAnchor>
  <xdr:twoCellAnchor>
    <xdr:from>
      <xdr:col>9</xdr:col>
      <xdr:colOff>393031</xdr:colOff>
      <xdr:row>12</xdr:row>
      <xdr:rowOff>193728</xdr:rowOff>
    </xdr:from>
    <xdr:to>
      <xdr:col>13</xdr:col>
      <xdr:colOff>164057</xdr:colOff>
      <xdr:row>21</xdr:row>
      <xdr:rowOff>177584</xdr:rowOff>
    </xdr:to>
    <xdr:grpSp>
      <xdr:nvGrpSpPr>
        <xdr:cNvPr id="69" name="グループ化 68"/>
        <xdr:cNvGrpSpPr/>
      </xdr:nvGrpSpPr>
      <xdr:grpSpPr>
        <a:xfrm>
          <a:off x="6557525" y="3019121"/>
          <a:ext cx="2510802" cy="2102901"/>
          <a:chOff x="6576954" y="3397515"/>
          <a:chExt cx="2525949" cy="1802797"/>
        </a:xfrm>
      </xdr:grpSpPr>
      <xdr:sp macro="" textlink="">
        <xdr:nvSpPr>
          <xdr:cNvPr id="70" name="正方形/長方形 69"/>
          <xdr:cNvSpPr/>
        </xdr:nvSpPr>
        <xdr:spPr>
          <a:xfrm>
            <a:off x="6576954"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子育て支援の取組み（１号）</a:t>
            </a:r>
          </a:p>
        </xdr:txBody>
      </xdr:sp>
      <xdr:sp macro="" textlink="">
        <xdr:nvSpPr>
          <xdr:cNvPr id="71" name="正方形/長方形 70"/>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・幼稚園型一時預かり事業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・満３歳児１号受入れ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r>
              <a:rPr kumimoji="1" lang="ja-JP" altLang="en-US" sz="1200">
                <a:solidFill>
                  <a:schemeClr val="tx1"/>
                </a:solidFill>
              </a:rPr>
              <a:t>・小学校との連携・接続</a:t>
            </a:r>
            <a:endParaRPr kumimoji="1" lang="en-US" altLang="ja-JP" sz="1200">
              <a:solidFill>
                <a:schemeClr val="tx1"/>
              </a:solidFill>
            </a:endParaRPr>
          </a:p>
          <a:p>
            <a:pPr algn="l"/>
            <a:r>
              <a:rPr kumimoji="1" lang="ja-JP" altLang="en-US" sz="1200">
                <a:solidFill>
                  <a:schemeClr val="tx1"/>
                </a:solidFill>
              </a:rPr>
              <a:t>・災害時における地域支援の取組</a:t>
            </a:r>
          </a:p>
        </xdr:txBody>
      </xdr:sp>
    </xdr:grpSp>
    <xdr:clientData/>
  </xdr:twoCellAnchor>
  <xdr:twoCellAnchor>
    <xdr:from>
      <xdr:col>9</xdr:col>
      <xdr:colOff>297757</xdr:colOff>
      <xdr:row>31</xdr:row>
      <xdr:rowOff>35945</xdr:rowOff>
    </xdr:from>
    <xdr:to>
      <xdr:col>13</xdr:col>
      <xdr:colOff>447261</xdr:colOff>
      <xdr:row>32</xdr:row>
      <xdr:rowOff>170186</xdr:rowOff>
    </xdr:to>
    <xdr:sp macro="" textlink="">
      <xdr:nvSpPr>
        <xdr:cNvPr id="75" name="正方形/長方形 74"/>
        <xdr:cNvSpPr/>
      </xdr:nvSpPr>
      <xdr:spPr>
        <a:xfrm>
          <a:off x="6469957" y="7417820"/>
          <a:ext cx="2892704" cy="37236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１・２号（３歳児以上）利用定員が３６～３００人</a:t>
          </a:r>
        </a:p>
      </xdr:txBody>
    </xdr:sp>
    <xdr:clientData/>
  </xdr:twoCellAnchor>
  <xdr:twoCellAnchor>
    <xdr:from>
      <xdr:col>9</xdr:col>
      <xdr:colOff>301070</xdr:colOff>
      <xdr:row>39</xdr:row>
      <xdr:rowOff>38021</xdr:rowOff>
    </xdr:from>
    <xdr:to>
      <xdr:col>13</xdr:col>
      <xdr:colOff>450574</xdr:colOff>
      <xdr:row>40</xdr:row>
      <xdr:rowOff>174736</xdr:rowOff>
    </xdr:to>
    <xdr:sp macro="" textlink="">
      <xdr:nvSpPr>
        <xdr:cNvPr id="76" name="正方形/長方形 75"/>
        <xdr:cNvSpPr/>
      </xdr:nvSpPr>
      <xdr:spPr>
        <a:xfrm>
          <a:off x="6473270" y="9324896"/>
          <a:ext cx="2892704" cy="3748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１号利用定員が３５人以下または１２２人以上</a:t>
          </a:r>
        </a:p>
      </xdr:txBody>
    </xdr:sp>
    <xdr:clientData/>
  </xdr:twoCellAnchor>
  <xdr:twoCellAnchor>
    <xdr:from>
      <xdr:col>9</xdr:col>
      <xdr:colOff>381375</xdr:colOff>
      <xdr:row>48</xdr:row>
      <xdr:rowOff>102922</xdr:rowOff>
    </xdr:from>
    <xdr:to>
      <xdr:col>13</xdr:col>
      <xdr:colOff>179946</xdr:colOff>
      <xdr:row>49</xdr:row>
      <xdr:rowOff>217992</xdr:rowOff>
    </xdr:to>
    <xdr:sp macro="" textlink="">
      <xdr:nvSpPr>
        <xdr:cNvPr id="77" name="正方形/長方形 76"/>
        <xdr:cNvSpPr/>
      </xdr:nvSpPr>
      <xdr:spPr>
        <a:xfrm>
          <a:off x="6553575" y="11532922"/>
          <a:ext cx="2541771" cy="35319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副園長・教頭配置加算</a:t>
          </a:r>
        </a:p>
      </xdr:txBody>
    </xdr:sp>
    <xdr:clientData/>
  </xdr:twoCellAnchor>
  <xdr:twoCellAnchor>
    <xdr:from>
      <xdr:col>1</xdr:col>
      <xdr:colOff>975</xdr:colOff>
      <xdr:row>48</xdr:row>
      <xdr:rowOff>79775</xdr:rowOff>
    </xdr:from>
    <xdr:to>
      <xdr:col>5</xdr:col>
      <xdr:colOff>975</xdr:colOff>
      <xdr:row>49</xdr:row>
      <xdr:rowOff>224585</xdr:rowOff>
    </xdr:to>
    <xdr:sp macro="" textlink="">
      <xdr:nvSpPr>
        <xdr:cNvPr id="78" name="正方形/長方形 77"/>
        <xdr:cNvSpPr/>
      </xdr:nvSpPr>
      <xdr:spPr>
        <a:xfrm>
          <a:off x="686775" y="11509775"/>
          <a:ext cx="2743200" cy="38293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副園長・教頭の配置</a:t>
          </a:r>
        </a:p>
      </xdr:txBody>
    </xdr:sp>
    <xdr:clientData/>
  </xdr:twoCellAnchor>
  <xdr:twoCellAnchor>
    <xdr:from>
      <xdr:col>5</xdr:col>
      <xdr:colOff>975</xdr:colOff>
      <xdr:row>49</xdr:row>
      <xdr:rowOff>29716</xdr:rowOff>
    </xdr:from>
    <xdr:to>
      <xdr:col>9</xdr:col>
      <xdr:colOff>381375</xdr:colOff>
      <xdr:row>49</xdr:row>
      <xdr:rowOff>37993</xdr:rowOff>
    </xdr:to>
    <xdr:cxnSp macro="">
      <xdr:nvCxnSpPr>
        <xdr:cNvPr id="79" name="カギ線コネクタ 86"/>
        <xdr:cNvCxnSpPr>
          <a:stCxn id="78" idx="3"/>
          <a:endCxn id="77" idx="1"/>
        </xdr:cNvCxnSpPr>
      </xdr:nvCxnSpPr>
      <xdr:spPr>
        <a:xfrm>
          <a:off x="3429975" y="11697841"/>
          <a:ext cx="3123600" cy="827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387196</xdr:colOff>
      <xdr:row>44</xdr:row>
      <xdr:rowOff>110494</xdr:rowOff>
    </xdr:from>
    <xdr:to>
      <xdr:col>13</xdr:col>
      <xdr:colOff>185767</xdr:colOff>
      <xdr:row>45</xdr:row>
      <xdr:rowOff>235090</xdr:rowOff>
    </xdr:to>
    <xdr:sp macro="" textlink="">
      <xdr:nvSpPr>
        <xdr:cNvPr id="80" name="正方形/長方形 79"/>
        <xdr:cNvSpPr/>
      </xdr:nvSpPr>
      <xdr:spPr>
        <a:xfrm>
          <a:off x="6559396" y="10587994"/>
          <a:ext cx="2541771" cy="362721"/>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指導充実加配加算</a:t>
          </a:r>
        </a:p>
      </xdr:txBody>
    </xdr:sp>
    <xdr:clientData/>
  </xdr:twoCellAnchor>
  <xdr:twoCellAnchor>
    <xdr:from>
      <xdr:col>2</xdr:col>
      <xdr:colOff>358618</xdr:colOff>
      <xdr:row>26</xdr:row>
      <xdr:rowOff>239668</xdr:rowOff>
    </xdr:from>
    <xdr:to>
      <xdr:col>9</xdr:col>
      <xdr:colOff>387195</xdr:colOff>
      <xdr:row>45</xdr:row>
      <xdr:rowOff>50328</xdr:rowOff>
    </xdr:to>
    <xdr:cxnSp macro="">
      <xdr:nvCxnSpPr>
        <xdr:cNvPr id="81" name="カギ線コネクタ 80"/>
        <xdr:cNvCxnSpPr>
          <a:stCxn id="43" idx="2"/>
          <a:endCxn id="80" idx="1"/>
        </xdr:cNvCxnSpPr>
      </xdr:nvCxnSpPr>
      <xdr:spPr>
        <a:xfrm rot="16200000" flipH="1">
          <a:off x="1977289" y="6183847"/>
          <a:ext cx="4335035" cy="482917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334438</xdr:colOff>
      <xdr:row>43</xdr:row>
      <xdr:rowOff>128183</xdr:rowOff>
    </xdr:from>
    <xdr:to>
      <xdr:col>13</xdr:col>
      <xdr:colOff>483942</xdr:colOff>
      <xdr:row>45</xdr:row>
      <xdr:rowOff>19969</xdr:rowOff>
    </xdr:to>
    <xdr:sp macro="" textlink="">
      <xdr:nvSpPr>
        <xdr:cNvPr id="82" name="正方形/長方形 81"/>
        <xdr:cNvSpPr/>
      </xdr:nvSpPr>
      <xdr:spPr>
        <a:xfrm>
          <a:off x="6506638" y="10367558"/>
          <a:ext cx="2892704" cy="3680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9</xdr:col>
      <xdr:colOff>385555</xdr:colOff>
      <xdr:row>53</xdr:row>
      <xdr:rowOff>226068</xdr:rowOff>
    </xdr:from>
    <xdr:to>
      <xdr:col>13</xdr:col>
      <xdr:colOff>184126</xdr:colOff>
      <xdr:row>55</xdr:row>
      <xdr:rowOff>96212</xdr:rowOff>
    </xdr:to>
    <xdr:sp macro="" textlink="">
      <xdr:nvSpPr>
        <xdr:cNvPr id="83" name="正方形/長方形 82"/>
        <xdr:cNvSpPr/>
      </xdr:nvSpPr>
      <xdr:spPr>
        <a:xfrm>
          <a:off x="6557755" y="12846693"/>
          <a:ext cx="2541771" cy="346394"/>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事務負担対応加配加算</a:t>
          </a:r>
        </a:p>
      </xdr:txBody>
    </xdr:sp>
    <xdr:clientData/>
  </xdr:twoCellAnchor>
  <xdr:twoCellAnchor>
    <xdr:from>
      <xdr:col>1</xdr:col>
      <xdr:colOff>5923</xdr:colOff>
      <xdr:row>53</xdr:row>
      <xdr:rowOff>210207</xdr:rowOff>
    </xdr:from>
    <xdr:to>
      <xdr:col>8</xdr:col>
      <xdr:colOff>381000</xdr:colOff>
      <xdr:row>55</xdr:row>
      <xdr:rowOff>108858</xdr:rowOff>
    </xdr:to>
    <xdr:sp macro="" textlink="">
      <xdr:nvSpPr>
        <xdr:cNvPr id="84" name="正方形/長方形 83"/>
        <xdr:cNvSpPr/>
      </xdr:nvSpPr>
      <xdr:spPr>
        <a:xfrm>
          <a:off x="691723" y="12830832"/>
          <a:ext cx="5175677" cy="37490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事務職員配置加算における事務職員を超えた非常勤事務職員の配置</a:t>
          </a:r>
        </a:p>
      </xdr:txBody>
    </xdr:sp>
    <xdr:clientData/>
  </xdr:twoCellAnchor>
  <xdr:twoCellAnchor>
    <xdr:from>
      <xdr:col>8</xdr:col>
      <xdr:colOff>381000</xdr:colOff>
      <xdr:row>54</xdr:row>
      <xdr:rowOff>159533</xdr:rowOff>
    </xdr:from>
    <xdr:to>
      <xdr:col>9</xdr:col>
      <xdr:colOff>385555</xdr:colOff>
      <xdr:row>54</xdr:row>
      <xdr:rowOff>161141</xdr:rowOff>
    </xdr:to>
    <xdr:cxnSp macro="">
      <xdr:nvCxnSpPr>
        <xdr:cNvPr id="85" name="カギ線コネクタ 86"/>
        <xdr:cNvCxnSpPr>
          <a:stCxn id="84" idx="3"/>
          <a:endCxn id="83" idx="1"/>
        </xdr:cNvCxnSpPr>
      </xdr:nvCxnSpPr>
      <xdr:spPr>
        <a:xfrm>
          <a:off x="5867400" y="13018283"/>
          <a:ext cx="690355" cy="1608"/>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3201</xdr:colOff>
      <xdr:row>52</xdr:row>
      <xdr:rowOff>114242</xdr:rowOff>
    </xdr:from>
    <xdr:to>
      <xdr:col>3</xdr:col>
      <xdr:colOff>3201</xdr:colOff>
      <xdr:row>53</xdr:row>
      <xdr:rowOff>216776</xdr:rowOff>
    </xdr:to>
    <xdr:cxnSp macro="">
      <xdr:nvCxnSpPr>
        <xdr:cNvPr id="86" name="カギ線コネクタ 86"/>
        <xdr:cNvCxnSpPr>
          <a:stCxn id="35" idx="2"/>
        </xdr:cNvCxnSpPr>
      </xdr:nvCxnSpPr>
      <xdr:spPr>
        <a:xfrm>
          <a:off x="2060601" y="12496742"/>
          <a:ext cx="0" cy="340659"/>
        </a:xfrm>
        <a:prstGeom prst="straightConnector1">
          <a:avLst/>
        </a:prstGeom>
        <a:ln w="38100">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597894</xdr:colOff>
      <xdr:row>53</xdr:row>
      <xdr:rowOff>1573</xdr:rowOff>
    </xdr:from>
    <xdr:to>
      <xdr:col>9</xdr:col>
      <xdr:colOff>54673</xdr:colOff>
      <xdr:row>54</xdr:row>
      <xdr:rowOff>120237</xdr:rowOff>
    </xdr:to>
    <xdr:sp macro="" textlink="">
      <xdr:nvSpPr>
        <xdr:cNvPr id="87" name="正方形/長方形 86"/>
        <xdr:cNvSpPr/>
      </xdr:nvSpPr>
      <xdr:spPr>
        <a:xfrm>
          <a:off x="3341094" y="12622198"/>
          <a:ext cx="2885779" cy="3567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19</xdr:col>
      <xdr:colOff>384044</xdr:colOff>
      <xdr:row>46</xdr:row>
      <xdr:rowOff>8007</xdr:rowOff>
    </xdr:from>
    <xdr:to>
      <xdr:col>25</xdr:col>
      <xdr:colOff>613475</xdr:colOff>
      <xdr:row>48</xdr:row>
      <xdr:rowOff>39057</xdr:rowOff>
    </xdr:to>
    <xdr:sp macro="" textlink="">
      <xdr:nvSpPr>
        <xdr:cNvPr id="88" name="正方形/長方形 87"/>
        <xdr:cNvSpPr/>
      </xdr:nvSpPr>
      <xdr:spPr>
        <a:xfrm>
          <a:off x="13267010" y="11147414"/>
          <a:ext cx="4297736" cy="5153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合わせて２つ以上実施（小学校との連携・接続、災害時における地域支援の取組を除く）</a:t>
          </a:r>
        </a:p>
      </xdr:txBody>
    </xdr:sp>
    <xdr:clientData/>
  </xdr:twoCellAnchor>
  <xdr:twoCellAnchor>
    <xdr:from>
      <xdr:col>19</xdr:col>
      <xdr:colOff>394810</xdr:colOff>
      <xdr:row>47</xdr:row>
      <xdr:rowOff>181367</xdr:rowOff>
    </xdr:from>
    <xdr:to>
      <xdr:col>24</xdr:col>
      <xdr:colOff>171236</xdr:colOff>
      <xdr:row>49</xdr:row>
      <xdr:rowOff>61075</xdr:rowOff>
    </xdr:to>
    <xdr:sp macro="" textlink="">
      <xdr:nvSpPr>
        <xdr:cNvPr id="89" name="正方形/長方形 88"/>
        <xdr:cNvSpPr/>
      </xdr:nvSpPr>
      <xdr:spPr>
        <a:xfrm>
          <a:off x="13398040" y="11247491"/>
          <a:ext cx="3201145" cy="35060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chemeClr val="tx1"/>
              </a:solidFill>
            </a:rPr>
            <a:t>１つ以上実施（災害時における地域支援の取組を除く）</a:t>
          </a:r>
          <a:r>
            <a:rPr kumimoji="1" lang="ja-JP" altLang="ja-JP" sz="1100">
              <a:solidFill>
                <a:schemeClr val="lt1"/>
              </a:solidFill>
              <a:effectLst/>
              <a:latin typeface="+mn-lt"/>
              <a:ea typeface="+mn-ea"/>
              <a:cs typeface="+mn-cs"/>
            </a:rPr>
            <a:t>災害時における地域支援の取組を除く</a:t>
          </a:r>
          <a:endParaRPr lang="ja-JP" altLang="ja-JP" sz="800">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chemeClr val="tx1"/>
              </a:solidFill>
            </a:rPr>
            <a:t>　</a:t>
          </a:r>
          <a:r>
            <a:rPr kumimoji="1" lang="ja-JP" altLang="ja-JP" sz="1100">
              <a:solidFill>
                <a:schemeClr val="lt1"/>
              </a:solidFill>
              <a:effectLst/>
              <a:latin typeface="+mn-lt"/>
              <a:ea typeface="+mn-ea"/>
              <a:cs typeface="+mn-cs"/>
            </a:rPr>
            <a:t>災害時における地域支援の取組を除く</a:t>
          </a:r>
          <a:endParaRPr lang="ja-JP" altLang="ja-JP" sz="800">
            <a:effectLst/>
          </a:endParaRPr>
        </a:p>
        <a:p>
          <a:pPr algn="l"/>
          <a:endParaRPr kumimoji="1" lang="ja-JP" altLang="en-US" sz="800">
            <a:solidFill>
              <a:schemeClr val="tx1"/>
            </a:solidFill>
          </a:endParaRPr>
        </a:p>
      </xdr:txBody>
    </xdr:sp>
    <xdr:clientData/>
  </xdr:twoCellAnchor>
  <xdr:twoCellAnchor>
    <xdr:from>
      <xdr:col>9</xdr:col>
      <xdr:colOff>375499</xdr:colOff>
      <xdr:row>46</xdr:row>
      <xdr:rowOff>75699</xdr:rowOff>
    </xdr:from>
    <xdr:to>
      <xdr:col>13</xdr:col>
      <xdr:colOff>170869</xdr:colOff>
      <xdr:row>47</xdr:row>
      <xdr:rowOff>190771</xdr:rowOff>
    </xdr:to>
    <xdr:sp macro="" textlink="">
      <xdr:nvSpPr>
        <xdr:cNvPr id="90" name="正方形/長方形 89"/>
        <xdr:cNvSpPr/>
      </xdr:nvSpPr>
      <xdr:spPr>
        <a:xfrm>
          <a:off x="6547699" y="11029449"/>
          <a:ext cx="2538570" cy="353197"/>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13</xdr:col>
      <xdr:colOff>170869</xdr:colOff>
      <xdr:row>47</xdr:row>
      <xdr:rowOff>4048</xdr:rowOff>
    </xdr:from>
    <xdr:to>
      <xdr:col>15</xdr:col>
      <xdr:colOff>168088</xdr:colOff>
      <xdr:row>47</xdr:row>
      <xdr:rowOff>10771</xdr:rowOff>
    </xdr:to>
    <xdr:cxnSp macro="">
      <xdr:nvCxnSpPr>
        <xdr:cNvPr id="91" name="カギ線コネクタ 86"/>
        <xdr:cNvCxnSpPr>
          <a:stCxn id="33" idx="1"/>
          <a:endCxn id="90" idx="3"/>
        </xdr:cNvCxnSpPr>
      </xdr:nvCxnSpPr>
      <xdr:spPr>
        <a:xfrm flipH="1">
          <a:off x="9086269" y="11195923"/>
          <a:ext cx="1359294" cy="672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164057</xdr:colOff>
      <xdr:row>17</xdr:row>
      <xdr:rowOff>241990</xdr:rowOff>
    </xdr:from>
    <xdr:to>
      <xdr:col>27</xdr:col>
      <xdr:colOff>6569</xdr:colOff>
      <xdr:row>22</xdr:row>
      <xdr:rowOff>13138</xdr:rowOff>
    </xdr:to>
    <xdr:grpSp>
      <xdr:nvGrpSpPr>
        <xdr:cNvPr id="92" name="グループ化 91"/>
        <xdr:cNvGrpSpPr/>
      </xdr:nvGrpSpPr>
      <xdr:grpSpPr>
        <a:xfrm>
          <a:off x="9068327" y="4244630"/>
          <a:ext cx="9421023" cy="948396"/>
          <a:chOff x="9169512" y="4328834"/>
          <a:chExt cx="9523375" cy="1256666"/>
        </a:xfrm>
      </xdr:grpSpPr>
      <xdr:cxnSp macro="">
        <xdr:nvCxnSpPr>
          <xdr:cNvPr id="93" name="カギ線コネクタ 191"/>
          <xdr:cNvCxnSpPr>
            <a:stCxn id="74" idx="3"/>
          </xdr:cNvCxnSpPr>
        </xdr:nvCxnSpPr>
        <xdr:spPr>
          <a:xfrm>
            <a:off x="13090045" y="4328834"/>
            <a:ext cx="5602842" cy="160917"/>
          </a:xfrm>
          <a:prstGeom prst="straightConnector1">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nvGrpSpPr>
          <xdr:cNvPr id="94" name="グループ化 93"/>
          <xdr:cNvGrpSpPr/>
        </xdr:nvGrpSpPr>
        <xdr:grpSpPr>
          <a:xfrm>
            <a:off x="9169512" y="4380356"/>
            <a:ext cx="8831263" cy="1205144"/>
            <a:chOff x="9169512" y="4380356"/>
            <a:chExt cx="8831263" cy="1205144"/>
          </a:xfrm>
        </xdr:grpSpPr>
        <xdr:cxnSp macro="">
          <xdr:nvCxnSpPr>
            <xdr:cNvPr id="95" name="カギ線コネクタ 94"/>
            <xdr:cNvCxnSpPr>
              <a:stCxn id="71" idx="3"/>
            </xdr:cNvCxnSpPr>
          </xdr:nvCxnSpPr>
          <xdr:spPr>
            <a:xfrm>
              <a:off x="9169512" y="4380356"/>
              <a:ext cx="8831263" cy="1205141"/>
            </a:xfrm>
            <a:prstGeom prst="bentConnector3">
              <a:avLst>
                <a:gd name="adj1" fmla="val 50000"/>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96" name="カギ線コネクタ 214"/>
            <xdr:cNvCxnSpPr/>
          </xdr:nvCxnSpPr>
          <xdr:spPr>
            <a:xfrm>
              <a:off x="13630064" y="4391036"/>
              <a:ext cx="1582294" cy="1194464"/>
            </a:xfrm>
            <a:prstGeom prst="curvedConnector3">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xdr:col>
      <xdr:colOff>358619</xdr:colOff>
      <xdr:row>27</xdr:row>
      <xdr:rowOff>1542</xdr:rowOff>
    </xdr:from>
    <xdr:to>
      <xdr:col>9</xdr:col>
      <xdr:colOff>385436</xdr:colOff>
      <xdr:row>30</xdr:row>
      <xdr:rowOff>90006</xdr:rowOff>
    </xdr:to>
    <xdr:cxnSp macro="">
      <xdr:nvCxnSpPr>
        <xdr:cNvPr id="97" name="カギ線コネクタ 96"/>
        <xdr:cNvCxnSpPr>
          <a:stCxn id="43" idx="2"/>
          <a:endCxn id="24" idx="1"/>
        </xdr:cNvCxnSpPr>
      </xdr:nvCxnSpPr>
      <xdr:spPr>
        <a:xfrm rot="16200000" flipH="1">
          <a:off x="3742508" y="4418628"/>
          <a:ext cx="802839" cy="482741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184007</xdr:colOff>
      <xdr:row>30</xdr:row>
      <xdr:rowOff>90007</xdr:rowOff>
    </xdr:from>
    <xdr:to>
      <xdr:col>15</xdr:col>
      <xdr:colOff>147939</xdr:colOff>
      <xdr:row>30</xdr:row>
      <xdr:rowOff>90007</xdr:rowOff>
    </xdr:to>
    <xdr:cxnSp macro="">
      <xdr:nvCxnSpPr>
        <xdr:cNvPr id="98" name="カギ線コネクタ 422"/>
        <xdr:cNvCxnSpPr>
          <a:stCxn id="24" idx="3"/>
          <a:endCxn id="55" idx="1"/>
        </xdr:cNvCxnSpPr>
      </xdr:nvCxnSpPr>
      <xdr:spPr>
        <a:xfrm>
          <a:off x="9099407" y="7233757"/>
          <a:ext cx="132600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166407</xdr:colOff>
      <xdr:row>50</xdr:row>
      <xdr:rowOff>240463</xdr:rowOff>
    </xdr:from>
    <xdr:to>
      <xdr:col>18</xdr:col>
      <xdr:colOff>645336</xdr:colOff>
      <xdr:row>52</xdr:row>
      <xdr:rowOff>113081</xdr:rowOff>
    </xdr:to>
    <xdr:sp macro="" textlink="">
      <xdr:nvSpPr>
        <xdr:cNvPr id="99" name="正方形/長方形 98"/>
        <xdr:cNvSpPr/>
      </xdr:nvSpPr>
      <xdr:spPr>
        <a:xfrm>
          <a:off x="10443882" y="12146713"/>
          <a:ext cx="2536329" cy="34886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p>
      </xdr:txBody>
    </xdr:sp>
    <xdr:clientData/>
  </xdr:twoCellAnchor>
  <xdr:twoCellAnchor>
    <xdr:from>
      <xdr:col>19</xdr:col>
      <xdr:colOff>394607</xdr:colOff>
      <xdr:row>50</xdr:row>
      <xdr:rowOff>176893</xdr:rowOff>
    </xdr:from>
    <xdr:to>
      <xdr:col>23</xdr:col>
      <xdr:colOff>269888</xdr:colOff>
      <xdr:row>51</xdr:row>
      <xdr:rowOff>219241</xdr:rowOff>
    </xdr:to>
    <xdr:sp macro="" textlink="">
      <xdr:nvSpPr>
        <xdr:cNvPr id="100" name="正方形/長方形 99"/>
        <xdr:cNvSpPr/>
      </xdr:nvSpPr>
      <xdr:spPr>
        <a:xfrm>
          <a:off x="13415282" y="12083143"/>
          <a:ext cx="2618481" cy="2804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twoCellAnchor>
    <xdr:from>
      <xdr:col>23</xdr:col>
      <xdr:colOff>0</xdr:colOff>
      <xdr:row>51</xdr:row>
      <xdr:rowOff>0</xdr:rowOff>
    </xdr:from>
    <xdr:to>
      <xdr:col>27</xdr:col>
      <xdr:colOff>78541</xdr:colOff>
      <xdr:row>52</xdr:row>
      <xdr:rowOff>129786</xdr:rowOff>
    </xdr:to>
    <xdr:sp macro="" textlink="">
      <xdr:nvSpPr>
        <xdr:cNvPr id="101" name="正方形/長方形 100"/>
        <xdr:cNvSpPr/>
      </xdr:nvSpPr>
      <xdr:spPr>
        <a:xfrm>
          <a:off x="15763875" y="12144375"/>
          <a:ext cx="2821741" cy="367911"/>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調理員等の配置</a:t>
          </a:r>
        </a:p>
      </xdr:txBody>
    </xdr:sp>
    <xdr:clientData/>
  </xdr:twoCellAnchor>
  <xdr:twoCellAnchor>
    <xdr:from>
      <xdr:col>18</xdr:col>
      <xdr:colOff>645336</xdr:colOff>
      <xdr:row>51</xdr:row>
      <xdr:rowOff>176772</xdr:rowOff>
    </xdr:from>
    <xdr:to>
      <xdr:col>23</xdr:col>
      <xdr:colOff>0</xdr:colOff>
      <xdr:row>51</xdr:row>
      <xdr:rowOff>187358</xdr:rowOff>
    </xdr:to>
    <xdr:cxnSp macro="">
      <xdr:nvCxnSpPr>
        <xdr:cNvPr id="102" name="カギ線コネクタ 86"/>
        <xdr:cNvCxnSpPr>
          <a:stCxn id="101" idx="1"/>
          <a:endCxn id="99" idx="3"/>
        </xdr:cNvCxnSpPr>
      </xdr:nvCxnSpPr>
      <xdr:spPr>
        <a:xfrm flipH="1" flipV="1">
          <a:off x="12980211" y="12321147"/>
          <a:ext cx="2783664" cy="10586"/>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27</xdr:row>
      <xdr:rowOff>4804</xdr:rowOff>
    </xdr:from>
    <xdr:to>
      <xdr:col>9</xdr:col>
      <xdr:colOff>363468</xdr:colOff>
      <xdr:row>36</xdr:row>
      <xdr:rowOff>159930</xdr:rowOff>
    </xdr:to>
    <xdr:cxnSp macro="">
      <xdr:nvCxnSpPr>
        <xdr:cNvPr id="103" name="カギ線コネクタ 102"/>
        <xdr:cNvCxnSpPr>
          <a:stCxn id="43" idx="2"/>
        </xdr:cNvCxnSpPr>
      </xdr:nvCxnSpPr>
      <xdr:spPr>
        <a:xfrm rot="16200000" flipH="1">
          <a:off x="2983818" y="5180581"/>
          <a:ext cx="2298251" cy="4805448"/>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383166</xdr:colOff>
      <xdr:row>35</xdr:row>
      <xdr:rowOff>172600</xdr:rowOff>
    </xdr:from>
    <xdr:to>
      <xdr:col>13</xdr:col>
      <xdr:colOff>181737</xdr:colOff>
      <xdr:row>37</xdr:row>
      <xdr:rowOff>100208</xdr:rowOff>
    </xdr:to>
    <xdr:sp macro="" textlink="">
      <xdr:nvSpPr>
        <xdr:cNvPr id="104" name="正方形/長方形 103"/>
        <xdr:cNvSpPr/>
      </xdr:nvSpPr>
      <xdr:spPr>
        <a:xfrm>
          <a:off x="6555366" y="8506975"/>
          <a:ext cx="2541771" cy="40385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４歳以上児配置改善加算</a:t>
          </a:r>
        </a:p>
      </xdr:txBody>
    </xdr:sp>
    <xdr:clientData/>
  </xdr:twoCellAnchor>
  <xdr:twoCellAnchor>
    <xdr:from>
      <xdr:col>15</xdr:col>
      <xdr:colOff>166011</xdr:colOff>
      <xdr:row>35</xdr:row>
      <xdr:rowOff>185648</xdr:rowOff>
    </xdr:from>
    <xdr:to>
      <xdr:col>18</xdr:col>
      <xdr:colOff>644939</xdr:colOff>
      <xdr:row>37</xdr:row>
      <xdr:rowOff>113256</xdr:rowOff>
    </xdr:to>
    <xdr:sp macro="" textlink="">
      <xdr:nvSpPr>
        <xdr:cNvPr id="105" name="正方形/長方形 104"/>
        <xdr:cNvSpPr/>
      </xdr:nvSpPr>
      <xdr:spPr>
        <a:xfrm>
          <a:off x="10443486" y="8520023"/>
          <a:ext cx="2536328" cy="40385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４歳以上児配置改善加算</a:t>
          </a:r>
        </a:p>
      </xdr:txBody>
    </xdr:sp>
    <xdr:clientData/>
  </xdr:twoCellAnchor>
  <xdr:twoCellAnchor>
    <xdr:from>
      <xdr:col>13</xdr:col>
      <xdr:colOff>208767</xdr:colOff>
      <xdr:row>36</xdr:row>
      <xdr:rowOff>175635</xdr:rowOff>
    </xdr:from>
    <xdr:to>
      <xdr:col>15</xdr:col>
      <xdr:colOff>166011</xdr:colOff>
      <xdr:row>36</xdr:row>
      <xdr:rowOff>181560</xdr:rowOff>
    </xdr:to>
    <xdr:cxnSp macro="">
      <xdr:nvCxnSpPr>
        <xdr:cNvPr id="106" name="カギ線コネクタ 422"/>
        <xdr:cNvCxnSpPr/>
      </xdr:nvCxnSpPr>
      <xdr:spPr>
        <a:xfrm>
          <a:off x="9113037" y="8651815"/>
          <a:ext cx="1316429" cy="5925"/>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xdr:colOff>
      <xdr:row>36</xdr:row>
      <xdr:rowOff>122123</xdr:rowOff>
    </xdr:from>
    <xdr:to>
      <xdr:col>19</xdr:col>
      <xdr:colOff>652397</xdr:colOff>
      <xdr:row>36</xdr:row>
      <xdr:rowOff>122124</xdr:rowOff>
    </xdr:to>
    <xdr:cxnSp macro="">
      <xdr:nvCxnSpPr>
        <xdr:cNvPr id="107" name="直線矢印コネクタ 106"/>
        <xdr:cNvCxnSpPr/>
      </xdr:nvCxnSpPr>
      <xdr:spPr>
        <a:xfrm flipH="1">
          <a:off x="13003231" y="8598303"/>
          <a:ext cx="652396" cy="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181421</xdr:colOff>
      <xdr:row>38</xdr:row>
      <xdr:rowOff>95942</xdr:rowOff>
    </xdr:from>
    <xdr:to>
      <xdr:col>18</xdr:col>
      <xdr:colOff>660349</xdr:colOff>
      <xdr:row>40</xdr:row>
      <xdr:rowOff>23550</xdr:rowOff>
    </xdr:to>
    <xdr:sp macro="" textlink="">
      <xdr:nvSpPr>
        <xdr:cNvPr id="118" name="正方形/長方形 117"/>
        <xdr:cNvSpPr/>
      </xdr:nvSpPr>
      <xdr:spPr>
        <a:xfrm>
          <a:off x="10352184" y="9298061"/>
          <a:ext cx="2513080" cy="41193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１歳児配置改善加算</a:t>
          </a:r>
        </a:p>
      </xdr:txBody>
    </xdr:sp>
    <xdr:clientData/>
  </xdr:twoCellAnchor>
  <xdr:twoCellAnchor>
    <xdr:from>
      <xdr:col>2</xdr:col>
      <xdr:colOff>342472</xdr:colOff>
      <xdr:row>39</xdr:row>
      <xdr:rowOff>107023</xdr:rowOff>
    </xdr:from>
    <xdr:to>
      <xdr:col>15</xdr:col>
      <xdr:colOff>171236</xdr:colOff>
      <xdr:row>39</xdr:row>
      <xdr:rowOff>107023</xdr:rowOff>
    </xdr:to>
    <xdr:cxnSp macro="">
      <xdr:nvCxnSpPr>
        <xdr:cNvPr id="125" name="直線矢印コネクタ 124"/>
        <xdr:cNvCxnSpPr/>
      </xdr:nvCxnSpPr>
      <xdr:spPr>
        <a:xfrm>
          <a:off x="1712360" y="9289551"/>
          <a:ext cx="8722331"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321066</xdr:colOff>
      <xdr:row>38</xdr:row>
      <xdr:rowOff>171236</xdr:rowOff>
    </xdr:from>
    <xdr:to>
      <xdr:col>7</xdr:col>
      <xdr:colOff>299661</xdr:colOff>
      <xdr:row>40</xdr:row>
      <xdr:rowOff>21405</xdr:rowOff>
    </xdr:to>
    <xdr:sp macro="" textlink="">
      <xdr:nvSpPr>
        <xdr:cNvPr id="127" name="正方形/長方形 126"/>
        <xdr:cNvSpPr/>
      </xdr:nvSpPr>
      <xdr:spPr>
        <a:xfrm>
          <a:off x="3745785" y="9118315"/>
          <a:ext cx="1348483" cy="32106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200">
              <a:solidFill>
                <a:schemeClr val="tx1"/>
              </a:solidFill>
            </a:rPr>
            <a:t>ICT</a:t>
          </a:r>
          <a:r>
            <a:rPr kumimoji="1" lang="ja-JP" altLang="en-US" sz="1200">
              <a:solidFill>
                <a:schemeClr val="tx1"/>
              </a:solidFill>
            </a:rPr>
            <a:t>の活用</a:t>
          </a:r>
        </a:p>
      </xdr:txBody>
    </xdr:sp>
    <xdr:clientData/>
  </xdr:twoCellAnchor>
  <xdr:twoCellAnchor>
    <xdr:from>
      <xdr:col>15</xdr:col>
      <xdr:colOff>163053</xdr:colOff>
      <xdr:row>12</xdr:row>
      <xdr:rowOff>177585</xdr:rowOff>
    </xdr:from>
    <xdr:to>
      <xdr:col>18</xdr:col>
      <xdr:colOff>618239</xdr:colOff>
      <xdr:row>21</xdr:row>
      <xdr:rowOff>121288</xdr:rowOff>
    </xdr:to>
    <xdr:grpSp>
      <xdr:nvGrpSpPr>
        <xdr:cNvPr id="72" name="グループ化 71"/>
        <xdr:cNvGrpSpPr/>
      </xdr:nvGrpSpPr>
      <xdr:grpSpPr>
        <a:xfrm>
          <a:off x="10426508" y="3002978"/>
          <a:ext cx="2510018" cy="2062748"/>
          <a:chOff x="6582903" y="3397515"/>
          <a:chExt cx="2521378" cy="1802797"/>
        </a:xfrm>
      </xdr:grpSpPr>
      <xdr:sp macro="" textlink="">
        <xdr:nvSpPr>
          <xdr:cNvPr id="73" name="正方形/長方形 72"/>
          <xdr:cNvSpPr/>
        </xdr:nvSpPr>
        <xdr:spPr>
          <a:xfrm>
            <a:off x="6584281"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子育て支援の取組み（２・３号）</a:t>
            </a:r>
          </a:p>
        </xdr:txBody>
      </xdr:sp>
      <xdr:sp macro="" textlink="">
        <xdr:nvSpPr>
          <xdr:cNvPr id="74" name="正方形/長方形 73"/>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r>
              <a:rPr kumimoji="1" lang="ja-JP" altLang="en-US" sz="1200">
                <a:solidFill>
                  <a:schemeClr val="tx1"/>
                </a:solidFill>
              </a:rPr>
              <a:t>・災害時における地域支援の取組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38"/>
  <sheetViews>
    <sheetView tabSelected="1" view="pageBreakPreview" zoomScale="130" zoomScaleNormal="100" zoomScaleSheetLayoutView="130" workbookViewId="0">
      <selection activeCell="D3" sqref="D3"/>
    </sheetView>
  </sheetViews>
  <sheetFormatPr defaultRowHeight="18.75"/>
  <cols>
    <col min="1" max="1" width="16.875" customWidth="1"/>
    <col min="9" max="9" width="9" style="4"/>
    <col min="11" max="11" width="15" customWidth="1"/>
    <col min="12" max="13" width="4.75" customWidth="1"/>
  </cols>
  <sheetData>
    <row r="1" spans="1:13" ht="24">
      <c r="A1" s="313" t="s">
        <v>161</v>
      </c>
      <c r="B1" s="314"/>
      <c r="C1" s="314"/>
      <c r="D1" s="314"/>
      <c r="E1" s="314"/>
      <c r="F1" s="314"/>
      <c r="G1" s="315"/>
      <c r="H1" s="10"/>
    </row>
    <row r="2" spans="1:13">
      <c r="H2" s="148">
        <f>改修履歴!A1</f>
        <v>1</v>
      </c>
      <c r="K2" s="72" t="s">
        <v>127</v>
      </c>
      <c r="L2" s="52">
        <f>COUNTIF(H4:H10,"〇")</f>
        <v>0</v>
      </c>
      <c r="M2">
        <f>L2-1</f>
        <v>-1</v>
      </c>
    </row>
    <row r="3" spans="1:13" ht="19.5" thickBot="1">
      <c r="A3" t="s">
        <v>236</v>
      </c>
      <c r="E3" s="323" t="s">
        <v>126</v>
      </c>
      <c r="F3" s="323"/>
      <c r="G3" s="323"/>
      <c r="H3" s="323"/>
      <c r="K3" s="73" t="s">
        <v>128</v>
      </c>
      <c r="L3" s="52">
        <f>COUNTIF(H11:H16,"〇")</f>
        <v>0</v>
      </c>
      <c r="M3">
        <f>L3-1</f>
        <v>-1</v>
      </c>
    </row>
    <row r="4" spans="1:13" ht="19.5" thickBot="1">
      <c r="A4" s="316">
        <v>45748</v>
      </c>
      <c r="B4" s="317"/>
      <c r="C4" t="s">
        <v>27</v>
      </c>
      <c r="D4" s="21" t="s">
        <v>36</v>
      </c>
      <c r="E4" s="324" t="s">
        <v>31</v>
      </c>
      <c r="F4" s="324"/>
      <c r="G4" s="325"/>
      <c r="H4" s="19"/>
      <c r="I4" s="245" t="s">
        <v>342</v>
      </c>
      <c r="K4" s="21" t="s">
        <v>173</v>
      </c>
      <c r="L4" s="52">
        <f>COUNTIF(H4:H7,"〇")+COUNTIF(H11,"〇")+COUNTIF(H13:H14,"〇")</f>
        <v>0</v>
      </c>
    </row>
    <row r="5" spans="1:13" ht="19.5" thickBot="1">
      <c r="D5" s="21" t="s">
        <v>36</v>
      </c>
      <c r="E5" s="310" t="s">
        <v>32</v>
      </c>
      <c r="F5" s="310"/>
      <c r="G5" s="311"/>
      <c r="H5" s="19"/>
      <c r="I5" s="293" t="s">
        <v>342</v>
      </c>
      <c r="K5" s="291" t="s">
        <v>341</v>
      </c>
      <c r="L5" s="52">
        <f>COUNTIF(H11:H15,"〇")</f>
        <v>0</v>
      </c>
    </row>
    <row r="6" spans="1:13" ht="19.5" thickBot="1">
      <c r="A6" s="3" t="s">
        <v>38</v>
      </c>
      <c r="D6" s="21" t="s">
        <v>36</v>
      </c>
      <c r="E6" s="310" t="s">
        <v>33</v>
      </c>
      <c r="F6" s="310"/>
      <c r="G6" s="311"/>
      <c r="H6" s="19"/>
    </row>
    <row r="7" spans="1:13" ht="19.5" thickBot="1">
      <c r="A7" s="320" t="s">
        <v>199</v>
      </c>
      <c r="B7" s="321"/>
      <c r="C7" s="322"/>
      <c r="D7" s="21" t="s">
        <v>36</v>
      </c>
      <c r="E7" s="310" t="s">
        <v>34</v>
      </c>
      <c r="F7" s="310"/>
      <c r="G7" s="311"/>
      <c r="H7" s="19"/>
      <c r="I7" s="4" t="s">
        <v>40</v>
      </c>
    </row>
    <row r="8" spans="1:13" ht="19.5" thickBot="1">
      <c r="A8" s="2"/>
      <c r="B8" s="2"/>
      <c r="D8" s="21" t="s">
        <v>36</v>
      </c>
      <c r="E8" s="310" t="s">
        <v>168</v>
      </c>
      <c r="F8" s="310"/>
      <c r="G8" s="311"/>
      <c r="H8" s="19"/>
    </row>
    <row r="9" spans="1:13" ht="19.5" customHeight="1" thickBot="1">
      <c r="A9" s="267"/>
      <c r="B9" s="267"/>
      <c r="D9" s="21" t="s">
        <v>36</v>
      </c>
      <c r="E9" s="326" t="s">
        <v>309</v>
      </c>
      <c r="F9" s="327"/>
      <c r="G9" s="328"/>
      <c r="H9" s="19"/>
    </row>
    <row r="10" spans="1:13" ht="19.5" customHeight="1" thickBot="1">
      <c r="A10" s="288"/>
      <c r="B10" s="288"/>
      <c r="D10" s="21" t="s">
        <v>36</v>
      </c>
      <c r="E10" s="310" t="s">
        <v>310</v>
      </c>
      <c r="F10" s="310"/>
      <c r="G10" s="311"/>
      <c r="H10" s="292"/>
    </row>
    <row r="11" spans="1:13" ht="19.5" thickBot="1">
      <c r="A11" t="s">
        <v>28</v>
      </c>
      <c r="D11" s="22" t="s">
        <v>37</v>
      </c>
      <c r="E11" s="310" t="s">
        <v>29</v>
      </c>
      <c r="F11" s="310"/>
      <c r="G11" s="311"/>
      <c r="H11" s="19"/>
    </row>
    <row r="12" spans="1:13" ht="19.5" thickBot="1">
      <c r="A12" s="318">
        <v>160</v>
      </c>
      <c r="B12" s="319"/>
      <c r="C12" t="s">
        <v>25</v>
      </c>
      <c r="D12" s="22" t="s">
        <v>37</v>
      </c>
      <c r="E12" s="310" t="s">
        <v>32</v>
      </c>
      <c r="F12" s="310"/>
      <c r="G12" s="311"/>
      <c r="H12" s="20" t="str">
        <f>IF(H5="","-",H5)</f>
        <v>-</v>
      </c>
    </row>
    <row r="13" spans="1:13" ht="19.5" thickBot="1">
      <c r="D13" s="22" t="s">
        <v>37</v>
      </c>
      <c r="E13" s="310" t="s">
        <v>30</v>
      </c>
      <c r="F13" s="310"/>
      <c r="G13" s="311"/>
      <c r="H13" s="19"/>
    </row>
    <row r="14" spans="1:13" ht="19.5" thickBot="1">
      <c r="D14" s="22" t="s">
        <v>37</v>
      </c>
      <c r="E14" s="310" t="s">
        <v>35</v>
      </c>
      <c r="F14" s="310"/>
      <c r="G14" s="311"/>
      <c r="H14" s="19"/>
    </row>
    <row r="15" spans="1:13" ht="19.5" thickBot="1">
      <c r="A15" t="s">
        <v>312</v>
      </c>
      <c r="D15" s="22" t="s">
        <v>37</v>
      </c>
      <c r="E15" s="310" t="s">
        <v>34</v>
      </c>
      <c r="F15" s="310"/>
      <c r="G15" s="311"/>
      <c r="H15" s="20" t="str">
        <f>IF(H7="","-",H7)</f>
        <v>-</v>
      </c>
    </row>
    <row r="16" spans="1:13" ht="19.5" thickBot="1">
      <c r="A16" s="272"/>
      <c r="B16" s="276" t="s">
        <v>311</v>
      </c>
      <c r="D16" s="22" t="s">
        <v>37</v>
      </c>
      <c r="E16" s="310" t="s">
        <v>310</v>
      </c>
      <c r="F16" s="310"/>
      <c r="G16" s="311"/>
      <c r="H16" s="20" t="str">
        <f>IF(H10="","-",H10)</f>
        <v>-</v>
      </c>
    </row>
    <row r="17" spans="1:12">
      <c r="A17" s="4" t="s">
        <v>314</v>
      </c>
      <c r="D17" s="22"/>
      <c r="E17" s="255"/>
      <c r="F17" s="255"/>
      <c r="G17" s="255"/>
      <c r="H17" s="69"/>
    </row>
    <row r="18" spans="1:12" ht="19.5" thickBot="1">
      <c r="D18" s="22"/>
      <c r="E18" s="312" t="s">
        <v>313</v>
      </c>
      <c r="F18" s="312"/>
      <c r="G18" s="312"/>
      <c r="H18" s="312"/>
      <c r="J18" s="4"/>
      <c r="K18" s="277" t="s">
        <v>315</v>
      </c>
      <c r="L18" s="277" t="s">
        <v>322</v>
      </c>
    </row>
    <row r="19" spans="1:12" ht="19.5" thickBot="1">
      <c r="D19" s="22"/>
      <c r="E19" s="310" t="s">
        <v>316</v>
      </c>
      <c r="F19" s="310"/>
      <c r="G19" s="311"/>
      <c r="H19" s="19"/>
      <c r="J19" s="6"/>
      <c r="K19" s="278" t="s">
        <v>320</v>
      </c>
      <c r="L19" s="278">
        <f>COUNTIF(H19,"〇")</f>
        <v>0</v>
      </c>
    </row>
    <row r="20" spans="1:12" ht="19.5" thickBot="1">
      <c r="D20" s="22"/>
      <c r="E20" s="310" t="s">
        <v>317</v>
      </c>
      <c r="F20" s="310"/>
      <c r="G20" s="311"/>
      <c r="H20" s="19"/>
      <c r="J20" s="6"/>
      <c r="K20" s="278" t="s">
        <v>321</v>
      </c>
      <c r="L20" s="278">
        <f>COUNTIF(H20:H22,"〇")</f>
        <v>0</v>
      </c>
    </row>
    <row r="21" spans="1:12" ht="19.5" thickBot="1">
      <c r="D21" s="22"/>
      <c r="E21" s="310" t="s">
        <v>318</v>
      </c>
      <c r="F21" s="310"/>
      <c r="G21" s="311"/>
      <c r="H21" s="19"/>
    </row>
    <row r="22" spans="1:12" ht="19.5" thickBot="1">
      <c r="D22" s="22"/>
      <c r="E22" s="310" t="s">
        <v>319</v>
      </c>
      <c r="F22" s="310"/>
      <c r="G22" s="311"/>
      <c r="H22" s="19"/>
    </row>
    <row r="24" spans="1:12" ht="19.5" thickBot="1">
      <c r="A24" s="179" t="s">
        <v>262</v>
      </c>
    </row>
    <row r="25" spans="1:12">
      <c r="A25" s="1"/>
      <c r="B25" s="1" t="s">
        <v>0</v>
      </c>
      <c r="C25" s="1" t="s">
        <v>1</v>
      </c>
      <c r="D25" s="1" t="s">
        <v>2</v>
      </c>
      <c r="E25" s="1" t="s">
        <v>3</v>
      </c>
      <c r="F25" s="1" t="s">
        <v>4</v>
      </c>
      <c r="G25" s="25" t="s">
        <v>5</v>
      </c>
      <c r="H25" s="26" t="s">
        <v>9</v>
      </c>
    </row>
    <row r="26" spans="1:12">
      <c r="A26" s="1" t="s">
        <v>6</v>
      </c>
      <c r="B26" s="107"/>
      <c r="C26" s="107"/>
      <c r="D26" s="12"/>
      <c r="E26" s="12"/>
      <c r="F26" s="12"/>
      <c r="G26" s="13"/>
      <c r="H26" s="156">
        <f>SUM(B26:G26)</f>
        <v>0</v>
      </c>
    </row>
    <row r="27" spans="1:12">
      <c r="A27" s="1" t="s">
        <v>7</v>
      </c>
      <c r="B27" s="107"/>
      <c r="C27" s="107"/>
      <c r="D27" s="107"/>
      <c r="E27" s="12"/>
      <c r="F27" s="12"/>
      <c r="G27" s="13"/>
      <c r="H27" s="156">
        <f>SUM(B27:G27)</f>
        <v>0</v>
      </c>
    </row>
    <row r="28" spans="1:12" ht="19.5" thickBot="1">
      <c r="A28" s="23" t="s">
        <v>8</v>
      </c>
      <c r="B28" s="14"/>
      <c r="C28" s="14"/>
      <c r="D28" s="14"/>
      <c r="E28" s="108"/>
      <c r="F28" s="108"/>
      <c r="G28" s="109"/>
      <c r="H28" s="157">
        <f>SUM(B28:G28)</f>
        <v>0</v>
      </c>
    </row>
    <row r="29" spans="1:12" ht="19.5" thickBot="1">
      <c r="A29" s="24" t="s">
        <v>9</v>
      </c>
      <c r="B29" s="159">
        <f>SUM(B26:B28)</f>
        <v>0</v>
      </c>
      <c r="C29" s="159">
        <f t="shared" ref="C29:G29" si="0">SUM(C26:C28)</f>
        <v>0</v>
      </c>
      <c r="D29" s="159">
        <f t="shared" si="0"/>
        <v>0</v>
      </c>
      <c r="E29" s="159">
        <f t="shared" si="0"/>
        <v>0</v>
      </c>
      <c r="F29" s="159">
        <f t="shared" si="0"/>
        <v>0</v>
      </c>
      <c r="G29" s="160">
        <f t="shared" si="0"/>
        <v>0</v>
      </c>
      <c r="H29" s="158">
        <f>SUM(B29:G29)</f>
        <v>0</v>
      </c>
    </row>
    <row r="32" spans="1:12" ht="19.5" thickBot="1">
      <c r="A32" t="s">
        <v>244</v>
      </c>
    </row>
    <row r="33" spans="1:9">
      <c r="A33" s="298" t="s">
        <v>241</v>
      </c>
      <c r="B33" s="299"/>
      <c r="C33" s="299"/>
      <c r="D33" s="299"/>
      <c r="E33" s="299"/>
      <c r="F33" s="299"/>
      <c r="G33" s="300"/>
      <c r="H33" s="149"/>
      <c r="I33"/>
    </row>
    <row r="34" spans="1:9">
      <c r="A34" s="301" t="s">
        <v>242</v>
      </c>
      <c r="B34" s="302"/>
      <c r="C34" s="302"/>
      <c r="D34" s="302"/>
      <c r="E34" s="302"/>
      <c r="F34" s="302"/>
      <c r="G34" s="303"/>
      <c r="H34" s="150"/>
      <c r="I34"/>
    </row>
    <row r="35" spans="1:9" ht="19.5" thickBot="1">
      <c r="A35" s="304" t="s">
        <v>243</v>
      </c>
      <c r="B35" s="305"/>
      <c r="C35" s="305"/>
      <c r="D35" s="305"/>
      <c r="E35" s="305"/>
      <c r="F35" s="305"/>
      <c r="G35" s="306"/>
      <c r="H35" s="151"/>
      <c r="I35"/>
    </row>
    <row r="36" spans="1:9" ht="19.5" thickBot="1">
      <c r="A36" s="307" t="s">
        <v>9</v>
      </c>
      <c r="B36" s="308"/>
      <c r="C36" s="308"/>
      <c r="D36" s="308"/>
      <c r="E36" s="308"/>
      <c r="F36" s="308"/>
      <c r="G36" s="309"/>
      <c r="H36" s="152">
        <f>SUM(H33:H35)</f>
        <v>0</v>
      </c>
      <c r="I36"/>
    </row>
    <row r="38" spans="1:9">
      <c r="A38" s="4"/>
    </row>
  </sheetData>
  <mergeCells count="27">
    <mergeCell ref="E13:G13"/>
    <mergeCell ref="E8:G8"/>
    <mergeCell ref="A1:G1"/>
    <mergeCell ref="A4:B4"/>
    <mergeCell ref="A12:B12"/>
    <mergeCell ref="A7:C7"/>
    <mergeCell ref="E3:H3"/>
    <mergeCell ref="E4:G4"/>
    <mergeCell ref="E5:G5"/>
    <mergeCell ref="E6:G6"/>
    <mergeCell ref="E7:G7"/>
    <mergeCell ref="E11:G11"/>
    <mergeCell ref="E12:G12"/>
    <mergeCell ref="E9:G9"/>
    <mergeCell ref="E10:G10"/>
    <mergeCell ref="A33:G33"/>
    <mergeCell ref="A34:G34"/>
    <mergeCell ref="A35:G35"/>
    <mergeCell ref="A36:G36"/>
    <mergeCell ref="E14:G14"/>
    <mergeCell ref="E15:G15"/>
    <mergeCell ref="E16:G16"/>
    <mergeCell ref="E18:H18"/>
    <mergeCell ref="E19:G19"/>
    <mergeCell ref="E20:G20"/>
    <mergeCell ref="E21:G21"/>
    <mergeCell ref="E22:G22"/>
  </mergeCells>
  <phoneticPr fontId="1"/>
  <dataValidations count="1">
    <dataValidation type="list" allowBlank="1" showInputMessage="1" showErrorMessage="1" sqref="H13:H14 H4:H11 H19:H22">
      <formula1>"〇"</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07"/>
  <sheetViews>
    <sheetView view="pageBreakPreview" zoomScale="130" zoomScaleNormal="100" zoomScaleSheetLayoutView="130" workbookViewId="0">
      <selection activeCell="K14" sqref="K14"/>
    </sheetView>
  </sheetViews>
  <sheetFormatPr defaultRowHeight="18.75"/>
  <cols>
    <col min="1" max="1" width="3.875" customWidth="1"/>
    <col min="2" max="2" width="8.375" customWidth="1"/>
    <col min="3" max="3" width="24.75" customWidth="1"/>
    <col min="4" max="4" width="12.625" customWidth="1"/>
    <col min="7" max="7" width="12.625" customWidth="1"/>
    <col min="8" max="8" width="2.125" customWidth="1"/>
    <col min="9" max="9" width="8.375" customWidth="1"/>
    <col min="10" max="15" width="3.5" customWidth="1"/>
    <col min="16" max="16" width="5" customWidth="1"/>
    <col min="17" max="17" width="7.5" customWidth="1"/>
  </cols>
  <sheetData>
    <row r="1" spans="1:17" ht="24">
      <c r="A1" s="334" t="s">
        <v>162</v>
      </c>
      <c r="B1" s="334"/>
      <c r="C1" s="334"/>
      <c r="D1" s="334"/>
      <c r="E1" s="334"/>
      <c r="F1" s="334"/>
      <c r="G1" s="8"/>
    </row>
    <row r="2" spans="1:17" ht="9" customHeight="1">
      <c r="A2" s="7"/>
      <c r="B2" s="8"/>
      <c r="C2" s="8"/>
      <c r="D2" s="8"/>
      <c r="E2" s="8"/>
      <c r="F2" s="8"/>
      <c r="G2" s="148">
        <f>改修履歴!A1</f>
        <v>1</v>
      </c>
    </row>
    <row r="3" spans="1:17" ht="19.5" thickBot="1">
      <c r="A3" s="3" t="s">
        <v>38</v>
      </c>
      <c r="F3" s="335" t="s">
        <v>236</v>
      </c>
      <c r="G3" s="335"/>
    </row>
    <row r="4" spans="1:17" ht="19.5" thickBot="1">
      <c r="A4" s="336" t="str">
        <f>①基本情報!A7</f>
        <v>〇〇認定こども園</v>
      </c>
      <c r="B4" s="337"/>
      <c r="C4" s="338"/>
      <c r="D4" s="125"/>
      <c r="F4" s="332">
        <f>①基本情報!A4</f>
        <v>45748</v>
      </c>
      <c r="G4" s="333"/>
    </row>
    <row r="5" spans="1:17" ht="8.25" customHeight="1"/>
    <row r="6" spans="1:17">
      <c r="F6" s="9" t="s">
        <v>24</v>
      </c>
      <c r="G6" s="18">
        <v>45748</v>
      </c>
    </row>
    <row r="7" spans="1:17" ht="19.5" thickBot="1">
      <c r="A7" s="5" t="s">
        <v>17</v>
      </c>
      <c r="B7" s="1" t="s">
        <v>23</v>
      </c>
      <c r="C7" s="1" t="s">
        <v>18</v>
      </c>
      <c r="D7" s="1" t="s">
        <v>19</v>
      </c>
      <c r="E7" s="1" t="s">
        <v>20</v>
      </c>
      <c r="F7" s="1" t="s">
        <v>21</v>
      </c>
      <c r="G7" s="1" t="s">
        <v>22</v>
      </c>
    </row>
    <row r="8" spans="1:17" ht="12" customHeight="1" thickBot="1">
      <c r="A8" s="5">
        <v>1</v>
      </c>
      <c r="B8" s="11">
        <f>IF(D8&gt;=$G$6,0,IF(D8="","",(DATEDIF(D8,$G$6,"Y"))))</f>
        <v>5</v>
      </c>
      <c r="C8" s="15" t="s">
        <v>304</v>
      </c>
      <c r="D8" s="16">
        <v>43678</v>
      </c>
      <c r="E8" s="15" t="s">
        <v>305</v>
      </c>
      <c r="F8" s="15" t="s">
        <v>306</v>
      </c>
      <c r="G8" s="17"/>
      <c r="I8" s="30"/>
      <c r="J8" s="30">
        <v>0</v>
      </c>
      <c r="K8" s="30">
        <v>1</v>
      </c>
      <c r="L8" s="30">
        <v>2</v>
      </c>
      <c r="M8" s="30">
        <v>3</v>
      </c>
      <c r="N8" s="30">
        <v>4</v>
      </c>
      <c r="O8" s="31">
        <v>5</v>
      </c>
      <c r="P8" s="32" t="s">
        <v>9</v>
      </c>
      <c r="Q8" s="43"/>
    </row>
    <row r="9" spans="1:17" ht="12" customHeight="1" thickBot="1">
      <c r="A9" s="5">
        <v>2</v>
      </c>
      <c r="B9" s="11" t="str">
        <f t="shared" ref="B9:B72" si="0">IF(D9&gt;=$G$6,0,IF(D9="","",(DATEDIF(D9,$G$6,"Y"))))</f>
        <v/>
      </c>
      <c r="C9" s="15"/>
      <c r="D9" s="16"/>
      <c r="E9" s="15"/>
      <c r="F9" s="15"/>
      <c r="G9" s="17"/>
      <c r="I9" s="30" t="s">
        <v>200</v>
      </c>
      <c r="J9" s="33"/>
      <c r="K9" s="33"/>
      <c r="L9" s="33">
        <f>COUNTIFS($B$8:$B$307,L$8,$E$8:$E$307,$I9)</f>
        <v>0</v>
      </c>
      <c r="M9" s="33">
        <f>COUNTIFS($B$8:$B$307,M$8,$E$8:$E$307,$I9)</f>
        <v>0</v>
      </c>
      <c r="N9" s="33">
        <f>COUNTIFS($B$8:$B$307,N$8,$E$8:$E$307,$I9)</f>
        <v>0</v>
      </c>
      <c r="O9" s="33">
        <f>COUNTIFS($B$8:$B$307,O$8,$E$8:$E$307,$I9)</f>
        <v>0</v>
      </c>
      <c r="P9" s="34">
        <f>SUM(J9:O9)</f>
        <v>0</v>
      </c>
      <c r="Q9" s="76" t="e">
        <f>P9/①基本情報!H26</f>
        <v>#DIV/0!</v>
      </c>
    </row>
    <row r="10" spans="1:17" ht="12" customHeight="1">
      <c r="A10" s="5">
        <v>3</v>
      </c>
      <c r="B10" s="11" t="str">
        <f t="shared" si="0"/>
        <v/>
      </c>
      <c r="C10" s="15"/>
      <c r="D10" s="16"/>
      <c r="E10" s="15"/>
      <c r="F10" s="15"/>
      <c r="G10" s="17"/>
      <c r="I10" s="30" t="s">
        <v>201</v>
      </c>
      <c r="J10" s="33"/>
      <c r="K10" s="33"/>
      <c r="L10" s="33"/>
      <c r="M10" s="33">
        <f>COUNTIFS($B$8:$B$307,M$8,$E$8:$E$307,$I10)</f>
        <v>0</v>
      </c>
      <c r="N10" s="33">
        <f>COUNTIFS($B$8:$B$307,N$8,$E$8:$E$307,$I10)</f>
        <v>0</v>
      </c>
      <c r="O10" s="33">
        <f>COUNTIFS($B$8:$B$307,O$8,$E$8:$E$307,$I10)</f>
        <v>1</v>
      </c>
      <c r="P10" s="34">
        <f>SUM(J10:O10)</f>
        <v>1</v>
      </c>
      <c r="Q10" s="329" t="e">
        <f>(SUM(P10:P12)/SUM(①基本情報!H27:H28))</f>
        <v>#DIV/0!</v>
      </c>
    </row>
    <row r="11" spans="1:17" ht="12" customHeight="1">
      <c r="A11" s="5">
        <v>4</v>
      </c>
      <c r="B11" s="11" t="str">
        <f t="shared" si="0"/>
        <v/>
      </c>
      <c r="C11" s="15"/>
      <c r="D11" s="16"/>
      <c r="E11" s="15"/>
      <c r="F11" s="15"/>
      <c r="G11" s="17"/>
      <c r="I11" s="30" t="s">
        <v>201</v>
      </c>
      <c r="J11" s="33"/>
      <c r="K11" s="33"/>
      <c r="L11" s="33">
        <f>COUNTIFS($B$8:$B$307,L$8,$E$8:$E$307,$I11)</f>
        <v>0</v>
      </c>
      <c r="M11" s="36"/>
      <c r="N11" s="36"/>
      <c r="O11" s="37"/>
      <c r="P11" s="34">
        <f>SUM(J11:O11)</f>
        <v>0</v>
      </c>
      <c r="Q11" s="330"/>
    </row>
    <row r="12" spans="1:17" ht="12" customHeight="1" thickBot="1">
      <c r="A12" s="5">
        <v>5</v>
      </c>
      <c r="B12" s="11" t="str">
        <f t="shared" si="0"/>
        <v/>
      </c>
      <c r="C12" s="15"/>
      <c r="D12" s="16"/>
      <c r="E12" s="15"/>
      <c r="F12" s="15"/>
      <c r="G12" s="17"/>
      <c r="I12" s="35" t="s">
        <v>202</v>
      </c>
      <c r="J12" s="33">
        <f>COUNTIFS($B$8:$B$307,J$8,$E$8:$E$307,$I12)</f>
        <v>0</v>
      </c>
      <c r="K12" s="33">
        <f>COUNTIFS($B$8:$B$307,K$8,$E$8:$E$307,$I12)</f>
        <v>0</v>
      </c>
      <c r="L12" s="33">
        <f>COUNTIFS($B$8:$B$307,L$8,$E$8:$E$307,$I12)</f>
        <v>0</v>
      </c>
      <c r="M12" s="36"/>
      <c r="N12" s="36"/>
      <c r="O12" s="37"/>
      <c r="P12" s="38">
        <f t="shared" ref="P12:P13" si="1">SUM(J12:O12)</f>
        <v>0</v>
      </c>
      <c r="Q12" s="331"/>
    </row>
    <row r="13" spans="1:17" ht="12" customHeight="1" thickBot="1">
      <c r="A13" s="5">
        <v>6</v>
      </c>
      <c r="B13" s="11" t="str">
        <f t="shared" si="0"/>
        <v/>
      </c>
      <c r="C13" s="15"/>
      <c r="D13" s="16"/>
      <c r="E13" s="15"/>
      <c r="F13" s="15"/>
      <c r="G13" s="17"/>
      <c r="I13" s="39" t="s">
        <v>9</v>
      </c>
      <c r="J13" s="40">
        <f t="shared" ref="J13:O13" si="2">SUM(J9:J12)</f>
        <v>0</v>
      </c>
      <c r="K13" s="40">
        <f t="shared" si="2"/>
        <v>0</v>
      </c>
      <c r="L13" s="40">
        <f t="shared" si="2"/>
        <v>0</v>
      </c>
      <c r="M13" s="40">
        <f t="shared" si="2"/>
        <v>0</v>
      </c>
      <c r="N13" s="40">
        <f t="shared" si="2"/>
        <v>0</v>
      </c>
      <c r="O13" s="41">
        <f t="shared" si="2"/>
        <v>1</v>
      </c>
      <c r="P13" s="42">
        <f t="shared" si="1"/>
        <v>1</v>
      </c>
      <c r="Q13" s="43"/>
    </row>
    <row r="14" spans="1:17" ht="12" customHeight="1">
      <c r="A14" s="5">
        <v>7</v>
      </c>
      <c r="B14" s="11" t="str">
        <f t="shared" si="0"/>
        <v/>
      </c>
      <c r="C14" s="15"/>
      <c r="D14" s="16"/>
      <c r="E14" s="15"/>
      <c r="F14" s="15"/>
      <c r="G14" s="17"/>
    </row>
    <row r="15" spans="1:17" ht="12" customHeight="1">
      <c r="A15" s="5">
        <v>8</v>
      </c>
      <c r="B15" s="11" t="str">
        <f t="shared" si="0"/>
        <v/>
      </c>
      <c r="C15" s="15"/>
      <c r="D15" s="16"/>
      <c r="E15" s="15"/>
      <c r="F15" s="15"/>
      <c r="G15" s="17"/>
    </row>
    <row r="16" spans="1:17" ht="12" customHeight="1">
      <c r="A16" s="5">
        <v>9</v>
      </c>
      <c r="B16" s="11" t="str">
        <f t="shared" si="0"/>
        <v/>
      </c>
      <c r="C16" s="15"/>
      <c r="D16" s="16"/>
      <c r="E16" s="15"/>
      <c r="F16" s="15"/>
      <c r="G16" s="17"/>
    </row>
    <row r="17" spans="1:7" ht="12" customHeight="1">
      <c r="A17" s="5">
        <v>10</v>
      </c>
      <c r="B17" s="11" t="str">
        <f t="shared" si="0"/>
        <v/>
      </c>
      <c r="C17" s="15"/>
      <c r="D17" s="16"/>
      <c r="E17" s="15"/>
      <c r="F17" s="15"/>
      <c r="G17" s="17"/>
    </row>
    <row r="18" spans="1:7" ht="12" customHeight="1">
      <c r="A18" s="5">
        <v>11</v>
      </c>
      <c r="B18" s="11" t="str">
        <f t="shared" si="0"/>
        <v/>
      </c>
      <c r="C18" s="15"/>
      <c r="D18" s="16"/>
      <c r="E18" s="15"/>
      <c r="F18" s="15"/>
      <c r="G18" s="17"/>
    </row>
    <row r="19" spans="1:7" ht="12" customHeight="1">
      <c r="A19" s="5">
        <v>12</v>
      </c>
      <c r="B19" s="11" t="str">
        <f t="shared" si="0"/>
        <v/>
      </c>
      <c r="C19" s="15"/>
      <c r="D19" s="16"/>
      <c r="E19" s="15"/>
      <c r="F19" s="15"/>
      <c r="G19" s="17"/>
    </row>
    <row r="20" spans="1:7" ht="12" customHeight="1">
      <c r="A20" s="5">
        <v>13</v>
      </c>
      <c r="B20" s="11" t="str">
        <f t="shared" si="0"/>
        <v/>
      </c>
      <c r="C20" s="15"/>
      <c r="D20" s="16"/>
      <c r="E20" s="15"/>
      <c r="F20" s="15"/>
      <c r="G20" s="17"/>
    </row>
    <row r="21" spans="1:7" ht="12" customHeight="1">
      <c r="A21" s="5">
        <v>14</v>
      </c>
      <c r="B21" s="11" t="str">
        <f t="shared" si="0"/>
        <v/>
      </c>
      <c r="C21" s="15"/>
      <c r="D21" s="16"/>
      <c r="E21" s="15"/>
      <c r="F21" s="15"/>
      <c r="G21" s="17"/>
    </row>
    <row r="22" spans="1:7" ht="12" customHeight="1">
      <c r="A22" s="5">
        <v>15</v>
      </c>
      <c r="B22" s="11" t="str">
        <f t="shared" si="0"/>
        <v/>
      </c>
      <c r="C22" s="15"/>
      <c r="D22" s="16"/>
      <c r="E22" s="15"/>
      <c r="F22" s="15"/>
      <c r="G22" s="17"/>
    </row>
    <row r="23" spans="1:7" ht="12" customHeight="1">
      <c r="A23" s="5">
        <v>16</v>
      </c>
      <c r="B23" s="11" t="str">
        <f t="shared" si="0"/>
        <v/>
      </c>
      <c r="C23" s="15"/>
      <c r="D23" s="16"/>
      <c r="E23" s="15"/>
      <c r="F23" s="15"/>
      <c r="G23" s="17"/>
    </row>
    <row r="24" spans="1:7" ht="12" customHeight="1">
      <c r="A24" s="5">
        <v>17</v>
      </c>
      <c r="B24" s="11" t="str">
        <f t="shared" si="0"/>
        <v/>
      </c>
      <c r="C24" s="15"/>
      <c r="D24" s="16"/>
      <c r="E24" s="15"/>
      <c r="F24" s="15"/>
      <c r="G24" s="17"/>
    </row>
    <row r="25" spans="1:7" ht="12" customHeight="1">
      <c r="A25" s="5">
        <v>18</v>
      </c>
      <c r="B25" s="11" t="str">
        <f t="shared" si="0"/>
        <v/>
      </c>
      <c r="C25" s="15"/>
      <c r="D25" s="16"/>
      <c r="E25" s="15"/>
      <c r="F25" s="15"/>
      <c r="G25" s="17"/>
    </row>
    <row r="26" spans="1:7" ht="12" customHeight="1">
      <c r="A26" s="5">
        <v>19</v>
      </c>
      <c r="B26" s="11" t="str">
        <f t="shared" si="0"/>
        <v/>
      </c>
      <c r="C26" s="15"/>
      <c r="D26" s="16"/>
      <c r="E26" s="15"/>
      <c r="F26" s="15"/>
      <c r="G26" s="17"/>
    </row>
    <row r="27" spans="1:7" ht="12" customHeight="1">
      <c r="A27" s="5">
        <v>20</v>
      </c>
      <c r="B27" s="11" t="str">
        <f t="shared" si="0"/>
        <v/>
      </c>
      <c r="C27" s="15"/>
      <c r="D27" s="16"/>
      <c r="E27" s="15"/>
      <c r="F27" s="15"/>
      <c r="G27" s="17"/>
    </row>
    <row r="28" spans="1:7" ht="12" customHeight="1">
      <c r="A28" s="5">
        <v>21</v>
      </c>
      <c r="B28" s="11" t="str">
        <f t="shared" si="0"/>
        <v/>
      </c>
      <c r="C28" s="15"/>
      <c r="D28" s="16"/>
      <c r="E28" s="15"/>
      <c r="F28" s="15"/>
      <c r="G28" s="17"/>
    </row>
    <row r="29" spans="1:7" ht="12" customHeight="1">
      <c r="A29" s="5">
        <v>22</v>
      </c>
      <c r="B29" s="11" t="str">
        <f t="shared" si="0"/>
        <v/>
      </c>
      <c r="C29" s="15"/>
      <c r="D29" s="16"/>
      <c r="E29" s="15"/>
      <c r="F29" s="15"/>
      <c r="G29" s="17"/>
    </row>
    <row r="30" spans="1:7" ht="12" customHeight="1">
      <c r="A30" s="5">
        <v>23</v>
      </c>
      <c r="B30" s="11" t="str">
        <f t="shared" si="0"/>
        <v/>
      </c>
      <c r="C30" s="15"/>
      <c r="D30" s="16"/>
      <c r="E30" s="15"/>
      <c r="F30" s="15"/>
      <c r="G30" s="17"/>
    </row>
    <row r="31" spans="1:7" ht="12" customHeight="1">
      <c r="A31" s="5">
        <v>24</v>
      </c>
      <c r="B31" s="11" t="str">
        <f t="shared" si="0"/>
        <v/>
      </c>
      <c r="C31" s="15"/>
      <c r="D31" s="16"/>
      <c r="E31" s="15"/>
      <c r="F31" s="15"/>
      <c r="G31" s="17"/>
    </row>
    <row r="32" spans="1:7" ht="12" customHeight="1">
      <c r="A32" s="5">
        <v>25</v>
      </c>
      <c r="B32" s="11" t="str">
        <f t="shared" si="0"/>
        <v/>
      </c>
      <c r="C32" s="15"/>
      <c r="D32" s="16"/>
      <c r="E32" s="15"/>
      <c r="F32" s="15"/>
      <c r="G32" s="17"/>
    </row>
    <row r="33" spans="1:7" ht="12" customHeight="1">
      <c r="A33" s="5">
        <v>26</v>
      </c>
      <c r="B33" s="11" t="str">
        <f t="shared" si="0"/>
        <v/>
      </c>
      <c r="C33" s="15"/>
      <c r="D33" s="16"/>
      <c r="E33" s="15"/>
      <c r="F33" s="15"/>
      <c r="G33" s="17"/>
    </row>
    <row r="34" spans="1:7" ht="12" customHeight="1">
      <c r="A34" s="5">
        <v>27</v>
      </c>
      <c r="B34" s="11" t="str">
        <f t="shared" si="0"/>
        <v/>
      </c>
      <c r="C34" s="15"/>
      <c r="D34" s="16"/>
      <c r="E34" s="15"/>
      <c r="F34" s="15"/>
      <c r="G34" s="17"/>
    </row>
    <row r="35" spans="1:7" ht="12" customHeight="1">
      <c r="A35" s="5">
        <v>28</v>
      </c>
      <c r="B35" s="11" t="str">
        <f t="shared" si="0"/>
        <v/>
      </c>
      <c r="C35" s="15"/>
      <c r="D35" s="16"/>
      <c r="E35" s="15"/>
      <c r="F35" s="15"/>
      <c r="G35" s="17"/>
    </row>
    <row r="36" spans="1:7" ht="12" customHeight="1">
      <c r="A36" s="5">
        <v>29</v>
      </c>
      <c r="B36" s="11" t="str">
        <f t="shared" si="0"/>
        <v/>
      </c>
      <c r="C36" s="15"/>
      <c r="D36" s="16"/>
      <c r="E36" s="15"/>
      <c r="F36" s="15"/>
      <c r="G36" s="17"/>
    </row>
    <row r="37" spans="1:7" ht="12" customHeight="1">
      <c r="A37" s="5">
        <v>30</v>
      </c>
      <c r="B37" s="11" t="str">
        <f t="shared" si="0"/>
        <v/>
      </c>
      <c r="C37" s="15"/>
      <c r="D37" s="16"/>
      <c r="E37" s="15"/>
      <c r="F37" s="15"/>
      <c r="G37" s="17"/>
    </row>
    <row r="38" spans="1:7" ht="12" customHeight="1">
      <c r="A38" s="5">
        <v>31</v>
      </c>
      <c r="B38" s="11" t="str">
        <f t="shared" si="0"/>
        <v/>
      </c>
      <c r="C38" s="15"/>
      <c r="D38" s="16"/>
      <c r="E38" s="15"/>
      <c r="F38" s="15"/>
      <c r="G38" s="17"/>
    </row>
    <row r="39" spans="1:7" ht="12" customHeight="1">
      <c r="A39" s="5">
        <v>32</v>
      </c>
      <c r="B39" s="11" t="str">
        <f t="shared" si="0"/>
        <v/>
      </c>
      <c r="C39" s="15"/>
      <c r="D39" s="16"/>
      <c r="E39" s="15"/>
      <c r="F39" s="15"/>
      <c r="G39" s="17"/>
    </row>
    <row r="40" spans="1:7" ht="12" customHeight="1">
      <c r="A40" s="5">
        <v>33</v>
      </c>
      <c r="B40" s="11" t="str">
        <f t="shared" si="0"/>
        <v/>
      </c>
      <c r="C40" s="15"/>
      <c r="D40" s="16"/>
      <c r="E40" s="15"/>
      <c r="F40" s="15"/>
      <c r="G40" s="17"/>
    </row>
    <row r="41" spans="1:7" ht="12" customHeight="1">
      <c r="A41" s="5">
        <v>34</v>
      </c>
      <c r="B41" s="11" t="str">
        <f t="shared" si="0"/>
        <v/>
      </c>
      <c r="C41" s="15"/>
      <c r="D41" s="16"/>
      <c r="E41" s="15"/>
      <c r="F41" s="15"/>
      <c r="G41" s="17"/>
    </row>
    <row r="42" spans="1:7" ht="12" customHeight="1">
      <c r="A42" s="5">
        <v>35</v>
      </c>
      <c r="B42" s="11" t="str">
        <f t="shared" si="0"/>
        <v/>
      </c>
      <c r="C42" s="15"/>
      <c r="D42" s="16"/>
      <c r="E42" s="15"/>
      <c r="F42" s="15"/>
      <c r="G42" s="17"/>
    </row>
    <row r="43" spans="1:7" ht="12" customHeight="1">
      <c r="A43" s="5">
        <v>36</v>
      </c>
      <c r="B43" s="11" t="str">
        <f t="shared" si="0"/>
        <v/>
      </c>
      <c r="C43" s="15"/>
      <c r="D43" s="16"/>
      <c r="E43" s="15"/>
      <c r="F43" s="15"/>
      <c r="G43" s="17"/>
    </row>
    <row r="44" spans="1:7" ht="12" customHeight="1">
      <c r="A44" s="5">
        <v>37</v>
      </c>
      <c r="B44" s="11" t="str">
        <f t="shared" si="0"/>
        <v/>
      </c>
      <c r="C44" s="15"/>
      <c r="D44" s="16"/>
      <c r="E44" s="15"/>
      <c r="F44" s="15"/>
      <c r="G44" s="17"/>
    </row>
    <row r="45" spans="1:7" ht="12" customHeight="1">
      <c r="A45" s="5">
        <v>38</v>
      </c>
      <c r="B45" s="11" t="str">
        <f t="shared" si="0"/>
        <v/>
      </c>
      <c r="C45" s="15"/>
      <c r="D45" s="16"/>
      <c r="E45" s="15"/>
      <c r="F45" s="15"/>
      <c r="G45" s="17"/>
    </row>
    <row r="46" spans="1:7" ht="12" customHeight="1">
      <c r="A46" s="5">
        <v>39</v>
      </c>
      <c r="B46" s="11" t="str">
        <f t="shared" si="0"/>
        <v/>
      </c>
      <c r="C46" s="15"/>
      <c r="D46" s="16"/>
      <c r="E46" s="15"/>
      <c r="F46" s="15"/>
      <c r="G46" s="17"/>
    </row>
    <row r="47" spans="1:7" ht="12" customHeight="1">
      <c r="A47" s="5">
        <v>40</v>
      </c>
      <c r="B47" s="11" t="str">
        <f t="shared" si="0"/>
        <v/>
      </c>
      <c r="C47" s="15"/>
      <c r="D47" s="16"/>
      <c r="E47" s="15"/>
      <c r="F47" s="15"/>
      <c r="G47" s="17"/>
    </row>
    <row r="48" spans="1:7" ht="12" customHeight="1">
      <c r="A48" s="5">
        <v>41</v>
      </c>
      <c r="B48" s="11" t="str">
        <f t="shared" si="0"/>
        <v/>
      </c>
      <c r="C48" s="15"/>
      <c r="D48" s="16"/>
      <c r="E48" s="15"/>
      <c r="F48" s="15"/>
      <c r="G48" s="17"/>
    </row>
    <row r="49" spans="1:7" ht="12" customHeight="1">
      <c r="A49" s="5">
        <v>42</v>
      </c>
      <c r="B49" s="11" t="str">
        <f t="shared" si="0"/>
        <v/>
      </c>
      <c r="C49" s="15"/>
      <c r="D49" s="16"/>
      <c r="E49" s="15"/>
      <c r="F49" s="15"/>
      <c r="G49" s="17"/>
    </row>
    <row r="50" spans="1:7" ht="12" customHeight="1">
      <c r="A50" s="5">
        <v>43</v>
      </c>
      <c r="B50" s="11" t="str">
        <f t="shared" si="0"/>
        <v/>
      </c>
      <c r="C50" s="15"/>
      <c r="D50" s="16"/>
      <c r="E50" s="15"/>
      <c r="F50" s="15"/>
      <c r="G50" s="17"/>
    </row>
    <row r="51" spans="1:7" ht="12" customHeight="1">
      <c r="A51" s="5">
        <v>44</v>
      </c>
      <c r="B51" s="11" t="str">
        <f t="shared" si="0"/>
        <v/>
      </c>
      <c r="C51" s="15"/>
      <c r="D51" s="16"/>
      <c r="E51" s="15"/>
      <c r="F51" s="15"/>
      <c r="G51" s="17"/>
    </row>
    <row r="52" spans="1:7" ht="12" customHeight="1">
      <c r="A52" s="5">
        <v>45</v>
      </c>
      <c r="B52" s="11" t="str">
        <f t="shared" si="0"/>
        <v/>
      </c>
      <c r="C52" s="15"/>
      <c r="D52" s="16"/>
      <c r="E52" s="15"/>
      <c r="F52" s="15"/>
      <c r="G52" s="17"/>
    </row>
    <row r="53" spans="1:7" ht="12" customHeight="1">
      <c r="A53" s="5">
        <v>46</v>
      </c>
      <c r="B53" s="11" t="str">
        <f t="shared" si="0"/>
        <v/>
      </c>
      <c r="C53" s="15"/>
      <c r="D53" s="16"/>
      <c r="E53" s="15"/>
      <c r="F53" s="15"/>
      <c r="G53" s="17"/>
    </row>
    <row r="54" spans="1:7" ht="12" customHeight="1">
      <c r="A54" s="5">
        <v>47</v>
      </c>
      <c r="B54" s="11" t="str">
        <f t="shared" si="0"/>
        <v/>
      </c>
      <c r="C54" s="15"/>
      <c r="D54" s="16"/>
      <c r="E54" s="15"/>
      <c r="F54" s="15"/>
      <c r="G54" s="17"/>
    </row>
    <row r="55" spans="1:7" ht="12" customHeight="1">
      <c r="A55" s="5">
        <v>48</v>
      </c>
      <c r="B55" s="11" t="str">
        <f t="shared" si="0"/>
        <v/>
      </c>
      <c r="C55" s="15"/>
      <c r="D55" s="16"/>
      <c r="E55" s="15"/>
      <c r="F55" s="15"/>
      <c r="G55" s="17"/>
    </row>
    <row r="56" spans="1:7" ht="12" customHeight="1">
      <c r="A56" s="5">
        <v>49</v>
      </c>
      <c r="B56" s="11" t="str">
        <f t="shared" si="0"/>
        <v/>
      </c>
      <c r="C56" s="15"/>
      <c r="D56" s="16"/>
      <c r="E56" s="15"/>
      <c r="F56" s="15"/>
      <c r="G56" s="17"/>
    </row>
    <row r="57" spans="1:7" ht="12" customHeight="1">
      <c r="A57" s="5">
        <v>50</v>
      </c>
      <c r="B57" s="11" t="str">
        <f t="shared" si="0"/>
        <v/>
      </c>
      <c r="C57" s="15"/>
      <c r="D57" s="16"/>
      <c r="E57" s="15"/>
      <c r="F57" s="15"/>
      <c r="G57" s="17"/>
    </row>
    <row r="58" spans="1:7" ht="12" customHeight="1">
      <c r="A58" s="5">
        <v>51</v>
      </c>
      <c r="B58" s="11" t="str">
        <f t="shared" si="0"/>
        <v/>
      </c>
      <c r="C58" s="15"/>
      <c r="D58" s="16"/>
      <c r="E58" s="15"/>
      <c r="F58" s="15"/>
      <c r="G58" s="17"/>
    </row>
    <row r="59" spans="1:7" ht="12" customHeight="1">
      <c r="A59" s="5">
        <v>52</v>
      </c>
      <c r="B59" s="11" t="str">
        <f t="shared" si="0"/>
        <v/>
      </c>
      <c r="C59" s="15"/>
      <c r="D59" s="16"/>
      <c r="E59" s="15"/>
      <c r="F59" s="15"/>
      <c r="G59" s="17"/>
    </row>
    <row r="60" spans="1:7" ht="12" customHeight="1">
      <c r="A60" s="5">
        <v>53</v>
      </c>
      <c r="B60" s="11" t="str">
        <f t="shared" si="0"/>
        <v/>
      </c>
      <c r="C60" s="15"/>
      <c r="D60" s="16"/>
      <c r="E60" s="15"/>
      <c r="F60" s="15"/>
      <c r="G60" s="17"/>
    </row>
    <row r="61" spans="1:7" ht="12" customHeight="1">
      <c r="A61" s="5">
        <v>54</v>
      </c>
      <c r="B61" s="11" t="str">
        <f t="shared" si="0"/>
        <v/>
      </c>
      <c r="C61" s="15"/>
      <c r="D61" s="16"/>
      <c r="E61" s="15"/>
      <c r="F61" s="15"/>
      <c r="G61" s="17"/>
    </row>
    <row r="62" spans="1:7" ht="12" customHeight="1">
      <c r="A62" s="5">
        <v>55</v>
      </c>
      <c r="B62" s="11" t="str">
        <f t="shared" si="0"/>
        <v/>
      </c>
      <c r="C62" s="15"/>
      <c r="D62" s="16"/>
      <c r="E62" s="15"/>
      <c r="F62" s="15"/>
      <c r="G62" s="17"/>
    </row>
    <row r="63" spans="1:7" ht="12" customHeight="1">
      <c r="A63" s="5">
        <v>56</v>
      </c>
      <c r="B63" s="11" t="str">
        <f t="shared" si="0"/>
        <v/>
      </c>
      <c r="C63" s="15"/>
      <c r="D63" s="16"/>
      <c r="E63" s="15"/>
      <c r="F63" s="15"/>
      <c r="G63" s="17"/>
    </row>
    <row r="64" spans="1:7" ht="12" customHeight="1">
      <c r="A64" s="5">
        <v>57</v>
      </c>
      <c r="B64" s="11" t="str">
        <f t="shared" si="0"/>
        <v/>
      </c>
      <c r="C64" s="15"/>
      <c r="D64" s="16"/>
      <c r="E64" s="15"/>
      <c r="F64" s="15"/>
      <c r="G64" s="17"/>
    </row>
    <row r="65" spans="1:7" ht="12" customHeight="1">
      <c r="A65" s="5">
        <v>58</v>
      </c>
      <c r="B65" s="11" t="str">
        <f t="shared" si="0"/>
        <v/>
      </c>
      <c r="C65" s="15"/>
      <c r="D65" s="16"/>
      <c r="E65" s="15"/>
      <c r="F65" s="15"/>
      <c r="G65" s="17"/>
    </row>
    <row r="66" spans="1:7" ht="12" customHeight="1">
      <c r="A66" s="5">
        <v>59</v>
      </c>
      <c r="B66" s="11" t="str">
        <f t="shared" si="0"/>
        <v/>
      </c>
      <c r="C66" s="15"/>
      <c r="D66" s="16"/>
      <c r="E66" s="15"/>
      <c r="F66" s="15"/>
      <c r="G66" s="17"/>
    </row>
    <row r="67" spans="1:7" ht="12" customHeight="1">
      <c r="A67" s="5">
        <v>60</v>
      </c>
      <c r="B67" s="11" t="str">
        <f t="shared" si="0"/>
        <v/>
      </c>
      <c r="C67" s="15"/>
      <c r="D67" s="16"/>
      <c r="E67" s="15"/>
      <c r="F67" s="15"/>
      <c r="G67" s="17"/>
    </row>
    <row r="68" spans="1:7" ht="12" customHeight="1">
      <c r="A68" s="5">
        <v>61</v>
      </c>
      <c r="B68" s="11" t="str">
        <f t="shared" si="0"/>
        <v/>
      </c>
      <c r="C68" s="15"/>
      <c r="D68" s="16"/>
      <c r="E68" s="15"/>
      <c r="F68" s="15"/>
      <c r="G68" s="17"/>
    </row>
    <row r="69" spans="1:7" ht="12" customHeight="1">
      <c r="A69" s="5">
        <v>62</v>
      </c>
      <c r="B69" s="11" t="str">
        <f t="shared" si="0"/>
        <v/>
      </c>
      <c r="C69" s="15"/>
      <c r="D69" s="16"/>
      <c r="E69" s="15"/>
      <c r="F69" s="15"/>
      <c r="G69" s="17"/>
    </row>
    <row r="70" spans="1:7" ht="12" customHeight="1">
      <c r="A70" s="5">
        <v>63</v>
      </c>
      <c r="B70" s="11" t="str">
        <f t="shared" si="0"/>
        <v/>
      </c>
      <c r="C70" s="15"/>
      <c r="D70" s="16"/>
      <c r="E70" s="15"/>
      <c r="F70" s="15"/>
      <c r="G70" s="17"/>
    </row>
    <row r="71" spans="1:7" ht="12" customHeight="1">
      <c r="A71" s="5">
        <v>64</v>
      </c>
      <c r="B71" s="11" t="str">
        <f t="shared" si="0"/>
        <v/>
      </c>
      <c r="C71" s="15"/>
      <c r="D71" s="16"/>
      <c r="E71" s="15"/>
      <c r="F71" s="15"/>
      <c r="G71" s="17"/>
    </row>
    <row r="72" spans="1:7" ht="12" customHeight="1">
      <c r="A72" s="5">
        <v>65</v>
      </c>
      <c r="B72" s="11" t="str">
        <f t="shared" si="0"/>
        <v/>
      </c>
      <c r="C72" s="15"/>
      <c r="D72" s="16"/>
      <c r="E72" s="15"/>
      <c r="F72" s="15"/>
      <c r="G72" s="17"/>
    </row>
    <row r="73" spans="1:7" ht="12" customHeight="1">
      <c r="A73" s="5">
        <v>66</v>
      </c>
      <c r="B73" s="11" t="str">
        <f t="shared" ref="B73:B136" si="3">IF(D73&gt;=$G$6,0,IF(D73="","",(DATEDIF(D73,$G$6,"Y"))))</f>
        <v/>
      </c>
      <c r="C73" s="15"/>
      <c r="D73" s="16"/>
      <c r="E73" s="15"/>
      <c r="F73" s="15"/>
      <c r="G73" s="17"/>
    </row>
    <row r="74" spans="1:7" ht="12" customHeight="1">
      <c r="A74" s="5">
        <v>67</v>
      </c>
      <c r="B74" s="11" t="str">
        <f t="shared" si="3"/>
        <v/>
      </c>
      <c r="C74" s="15"/>
      <c r="D74" s="16"/>
      <c r="E74" s="15"/>
      <c r="F74" s="15"/>
      <c r="G74" s="17"/>
    </row>
    <row r="75" spans="1:7" ht="12" customHeight="1">
      <c r="A75" s="5">
        <v>68</v>
      </c>
      <c r="B75" s="11" t="str">
        <f t="shared" si="3"/>
        <v/>
      </c>
      <c r="C75" s="15"/>
      <c r="D75" s="16"/>
      <c r="E75" s="15"/>
      <c r="F75" s="15"/>
      <c r="G75" s="17"/>
    </row>
    <row r="76" spans="1:7" ht="12" customHeight="1">
      <c r="A76" s="5">
        <v>69</v>
      </c>
      <c r="B76" s="11" t="str">
        <f t="shared" si="3"/>
        <v/>
      </c>
      <c r="C76" s="15"/>
      <c r="D76" s="16"/>
      <c r="E76" s="15"/>
      <c r="F76" s="15"/>
      <c r="G76" s="17"/>
    </row>
    <row r="77" spans="1:7" ht="12" customHeight="1">
      <c r="A77" s="5">
        <v>70</v>
      </c>
      <c r="B77" s="11" t="str">
        <f t="shared" si="3"/>
        <v/>
      </c>
      <c r="C77" s="15"/>
      <c r="D77" s="16"/>
      <c r="E77" s="15"/>
      <c r="F77" s="15"/>
      <c r="G77" s="17"/>
    </row>
    <row r="78" spans="1:7" ht="12" customHeight="1">
      <c r="A78" s="5">
        <v>71</v>
      </c>
      <c r="B78" s="11" t="str">
        <f t="shared" si="3"/>
        <v/>
      </c>
      <c r="C78" s="15"/>
      <c r="D78" s="16"/>
      <c r="E78" s="15"/>
      <c r="F78" s="15"/>
      <c r="G78" s="17"/>
    </row>
    <row r="79" spans="1:7" ht="12" customHeight="1">
      <c r="A79" s="5">
        <v>72</v>
      </c>
      <c r="B79" s="11" t="str">
        <f t="shared" si="3"/>
        <v/>
      </c>
      <c r="C79" s="15"/>
      <c r="D79" s="16"/>
      <c r="E79" s="15"/>
      <c r="F79" s="15"/>
      <c r="G79" s="17"/>
    </row>
    <row r="80" spans="1:7" ht="12" customHeight="1">
      <c r="A80" s="5">
        <v>73</v>
      </c>
      <c r="B80" s="11" t="str">
        <f t="shared" si="3"/>
        <v/>
      </c>
      <c r="C80" s="15"/>
      <c r="D80" s="16"/>
      <c r="E80" s="15"/>
      <c r="F80" s="15"/>
      <c r="G80" s="17"/>
    </row>
    <row r="81" spans="1:7" ht="12" customHeight="1">
      <c r="A81" s="5">
        <v>74</v>
      </c>
      <c r="B81" s="11" t="str">
        <f t="shared" si="3"/>
        <v/>
      </c>
      <c r="C81" s="15"/>
      <c r="D81" s="16"/>
      <c r="E81" s="15"/>
      <c r="F81" s="15"/>
      <c r="G81" s="17"/>
    </row>
    <row r="82" spans="1:7" ht="12" customHeight="1">
      <c r="A82" s="5">
        <v>75</v>
      </c>
      <c r="B82" s="11" t="str">
        <f t="shared" si="3"/>
        <v/>
      </c>
      <c r="C82" s="15"/>
      <c r="D82" s="16"/>
      <c r="E82" s="15"/>
      <c r="F82" s="15"/>
      <c r="G82" s="17"/>
    </row>
    <row r="83" spans="1:7" ht="12" customHeight="1">
      <c r="A83" s="5">
        <v>76</v>
      </c>
      <c r="B83" s="11" t="str">
        <f t="shared" si="3"/>
        <v/>
      </c>
      <c r="C83" s="15"/>
      <c r="D83" s="16"/>
      <c r="E83" s="15"/>
      <c r="F83" s="15"/>
      <c r="G83" s="17"/>
    </row>
    <row r="84" spans="1:7" ht="12" customHeight="1">
      <c r="A84" s="5">
        <v>77</v>
      </c>
      <c r="B84" s="11" t="str">
        <f t="shared" si="3"/>
        <v/>
      </c>
      <c r="C84" s="15"/>
      <c r="D84" s="16"/>
      <c r="E84" s="15"/>
      <c r="F84" s="15"/>
      <c r="G84" s="17"/>
    </row>
    <row r="85" spans="1:7" ht="12" customHeight="1">
      <c r="A85" s="5">
        <v>78</v>
      </c>
      <c r="B85" s="11" t="str">
        <f t="shared" si="3"/>
        <v/>
      </c>
      <c r="C85" s="15"/>
      <c r="D85" s="16"/>
      <c r="E85" s="15"/>
      <c r="F85" s="15"/>
      <c r="G85" s="17"/>
    </row>
    <row r="86" spans="1:7" ht="12" customHeight="1">
      <c r="A86" s="5">
        <v>79</v>
      </c>
      <c r="B86" s="11" t="str">
        <f t="shared" si="3"/>
        <v/>
      </c>
      <c r="C86" s="15"/>
      <c r="D86" s="16"/>
      <c r="E86" s="15"/>
      <c r="F86" s="15"/>
      <c r="G86" s="17"/>
    </row>
    <row r="87" spans="1:7" ht="12" customHeight="1">
      <c r="A87" s="5">
        <v>80</v>
      </c>
      <c r="B87" s="11" t="str">
        <f t="shared" si="3"/>
        <v/>
      </c>
      <c r="C87" s="15"/>
      <c r="D87" s="16"/>
      <c r="E87" s="15"/>
      <c r="F87" s="15"/>
      <c r="G87" s="17"/>
    </row>
    <row r="88" spans="1:7" ht="12" customHeight="1">
      <c r="A88" s="5">
        <v>81</v>
      </c>
      <c r="B88" s="11" t="str">
        <f t="shared" si="3"/>
        <v/>
      </c>
      <c r="C88" s="15"/>
      <c r="D88" s="16"/>
      <c r="E88" s="15"/>
      <c r="F88" s="15"/>
      <c r="G88" s="17"/>
    </row>
    <row r="89" spans="1:7" ht="12" customHeight="1">
      <c r="A89" s="5">
        <v>82</v>
      </c>
      <c r="B89" s="11" t="str">
        <f t="shared" si="3"/>
        <v/>
      </c>
      <c r="C89" s="15"/>
      <c r="D89" s="16"/>
      <c r="E89" s="15"/>
      <c r="F89" s="15"/>
      <c r="G89" s="17"/>
    </row>
    <row r="90" spans="1:7" ht="12" customHeight="1">
      <c r="A90" s="5">
        <v>83</v>
      </c>
      <c r="B90" s="11" t="str">
        <f t="shared" si="3"/>
        <v/>
      </c>
      <c r="C90" s="15"/>
      <c r="D90" s="16"/>
      <c r="E90" s="15"/>
      <c r="F90" s="15"/>
      <c r="G90" s="17"/>
    </row>
    <row r="91" spans="1:7" ht="12" customHeight="1">
      <c r="A91" s="5">
        <v>84</v>
      </c>
      <c r="B91" s="11" t="str">
        <f t="shared" si="3"/>
        <v/>
      </c>
      <c r="C91" s="15"/>
      <c r="D91" s="16"/>
      <c r="E91" s="15"/>
      <c r="F91" s="15"/>
      <c r="G91" s="17"/>
    </row>
    <row r="92" spans="1:7" ht="12" customHeight="1">
      <c r="A92" s="5">
        <v>85</v>
      </c>
      <c r="B92" s="11" t="str">
        <f t="shared" si="3"/>
        <v/>
      </c>
      <c r="C92" s="15"/>
      <c r="D92" s="16"/>
      <c r="E92" s="15"/>
      <c r="F92" s="15"/>
      <c r="G92" s="17"/>
    </row>
    <row r="93" spans="1:7" ht="12" customHeight="1">
      <c r="A93" s="5">
        <v>86</v>
      </c>
      <c r="B93" s="11" t="str">
        <f t="shared" si="3"/>
        <v/>
      </c>
      <c r="C93" s="15"/>
      <c r="D93" s="16"/>
      <c r="E93" s="15"/>
      <c r="F93" s="15"/>
      <c r="G93" s="17"/>
    </row>
    <row r="94" spans="1:7" ht="12" customHeight="1">
      <c r="A94" s="5">
        <v>87</v>
      </c>
      <c r="B94" s="11" t="str">
        <f t="shared" si="3"/>
        <v/>
      </c>
      <c r="C94" s="15"/>
      <c r="D94" s="16"/>
      <c r="E94" s="15"/>
      <c r="F94" s="15"/>
      <c r="G94" s="17"/>
    </row>
    <row r="95" spans="1:7" ht="12" customHeight="1">
      <c r="A95" s="5">
        <v>88</v>
      </c>
      <c r="B95" s="11" t="str">
        <f t="shared" si="3"/>
        <v/>
      </c>
      <c r="C95" s="15"/>
      <c r="D95" s="16"/>
      <c r="E95" s="15"/>
      <c r="F95" s="15"/>
      <c r="G95" s="17"/>
    </row>
    <row r="96" spans="1:7" ht="12" customHeight="1">
      <c r="A96" s="5">
        <v>89</v>
      </c>
      <c r="B96" s="11" t="str">
        <f t="shared" si="3"/>
        <v/>
      </c>
      <c r="C96" s="15"/>
      <c r="D96" s="16"/>
      <c r="E96" s="15"/>
      <c r="F96" s="15"/>
      <c r="G96" s="17"/>
    </row>
    <row r="97" spans="1:7" ht="12" customHeight="1">
      <c r="A97" s="5">
        <v>90</v>
      </c>
      <c r="B97" s="11" t="str">
        <f t="shared" si="3"/>
        <v/>
      </c>
      <c r="C97" s="15"/>
      <c r="D97" s="16"/>
      <c r="E97" s="15"/>
      <c r="F97" s="15"/>
      <c r="G97" s="17"/>
    </row>
    <row r="98" spans="1:7" ht="12" customHeight="1">
      <c r="A98" s="5">
        <v>91</v>
      </c>
      <c r="B98" s="11" t="str">
        <f t="shared" si="3"/>
        <v/>
      </c>
      <c r="C98" s="15"/>
      <c r="D98" s="16"/>
      <c r="E98" s="15"/>
      <c r="F98" s="15"/>
      <c r="G98" s="17"/>
    </row>
    <row r="99" spans="1:7" ht="12" customHeight="1">
      <c r="A99" s="5">
        <v>92</v>
      </c>
      <c r="B99" s="11" t="str">
        <f t="shared" si="3"/>
        <v/>
      </c>
      <c r="C99" s="15"/>
      <c r="D99" s="16"/>
      <c r="E99" s="15"/>
      <c r="F99" s="15"/>
      <c r="G99" s="17"/>
    </row>
    <row r="100" spans="1:7" ht="12" customHeight="1">
      <c r="A100" s="5">
        <v>93</v>
      </c>
      <c r="B100" s="11" t="str">
        <f t="shared" si="3"/>
        <v/>
      </c>
      <c r="C100" s="15"/>
      <c r="D100" s="16"/>
      <c r="E100" s="15"/>
      <c r="F100" s="15"/>
      <c r="G100" s="17"/>
    </row>
    <row r="101" spans="1:7" ht="12" customHeight="1">
      <c r="A101" s="5">
        <v>94</v>
      </c>
      <c r="B101" s="11" t="str">
        <f t="shared" si="3"/>
        <v/>
      </c>
      <c r="C101" s="15"/>
      <c r="D101" s="16"/>
      <c r="E101" s="15"/>
      <c r="F101" s="15"/>
      <c r="G101" s="17"/>
    </row>
    <row r="102" spans="1:7" ht="12" customHeight="1">
      <c r="A102" s="5">
        <v>95</v>
      </c>
      <c r="B102" s="11" t="str">
        <f t="shared" si="3"/>
        <v/>
      </c>
      <c r="C102" s="15"/>
      <c r="D102" s="16"/>
      <c r="E102" s="15"/>
      <c r="F102" s="15"/>
      <c r="G102" s="17"/>
    </row>
    <row r="103" spans="1:7" ht="12" customHeight="1">
      <c r="A103" s="5">
        <v>96</v>
      </c>
      <c r="B103" s="11" t="str">
        <f t="shared" si="3"/>
        <v/>
      </c>
      <c r="C103" s="15"/>
      <c r="D103" s="16"/>
      <c r="E103" s="15"/>
      <c r="F103" s="15"/>
      <c r="G103" s="17"/>
    </row>
    <row r="104" spans="1:7" ht="12" customHeight="1">
      <c r="A104" s="5">
        <v>97</v>
      </c>
      <c r="B104" s="11" t="str">
        <f t="shared" si="3"/>
        <v/>
      </c>
      <c r="C104" s="15"/>
      <c r="D104" s="16"/>
      <c r="E104" s="15"/>
      <c r="F104" s="15"/>
      <c r="G104" s="17"/>
    </row>
    <row r="105" spans="1:7" ht="12" customHeight="1">
      <c r="A105" s="5">
        <v>98</v>
      </c>
      <c r="B105" s="11" t="str">
        <f t="shared" si="3"/>
        <v/>
      </c>
      <c r="C105" s="15"/>
      <c r="D105" s="16"/>
      <c r="E105" s="15"/>
      <c r="F105" s="15"/>
      <c r="G105" s="17"/>
    </row>
    <row r="106" spans="1:7" ht="12" customHeight="1">
      <c r="A106" s="5">
        <v>99</v>
      </c>
      <c r="B106" s="11" t="str">
        <f t="shared" si="3"/>
        <v/>
      </c>
      <c r="C106" s="15"/>
      <c r="D106" s="16"/>
      <c r="E106" s="15"/>
      <c r="F106" s="15"/>
      <c r="G106" s="17"/>
    </row>
    <row r="107" spans="1:7" ht="12" customHeight="1">
      <c r="A107" s="5">
        <v>100</v>
      </c>
      <c r="B107" s="11" t="str">
        <f t="shared" si="3"/>
        <v/>
      </c>
      <c r="C107" s="15"/>
      <c r="D107" s="16"/>
      <c r="E107" s="15"/>
      <c r="F107" s="15"/>
      <c r="G107" s="17"/>
    </row>
    <row r="108" spans="1:7" ht="12" customHeight="1">
      <c r="A108" s="5">
        <v>101</v>
      </c>
      <c r="B108" s="11" t="str">
        <f t="shared" si="3"/>
        <v/>
      </c>
      <c r="C108" s="15"/>
      <c r="D108" s="16"/>
      <c r="E108" s="15"/>
      <c r="F108" s="15"/>
      <c r="G108" s="17"/>
    </row>
    <row r="109" spans="1:7" ht="12" customHeight="1">
      <c r="A109" s="5">
        <v>102</v>
      </c>
      <c r="B109" s="11" t="str">
        <f t="shared" si="3"/>
        <v/>
      </c>
      <c r="C109" s="15"/>
      <c r="D109" s="16"/>
      <c r="E109" s="15"/>
      <c r="F109" s="15"/>
      <c r="G109" s="17"/>
    </row>
    <row r="110" spans="1:7" ht="12" customHeight="1">
      <c r="A110" s="5">
        <v>103</v>
      </c>
      <c r="B110" s="11" t="str">
        <f t="shared" si="3"/>
        <v/>
      </c>
      <c r="C110" s="15"/>
      <c r="D110" s="16"/>
      <c r="E110" s="15"/>
      <c r="F110" s="15"/>
      <c r="G110" s="17"/>
    </row>
    <row r="111" spans="1:7" ht="12" customHeight="1">
      <c r="A111" s="5">
        <v>104</v>
      </c>
      <c r="B111" s="11" t="str">
        <f t="shared" si="3"/>
        <v/>
      </c>
      <c r="C111" s="15"/>
      <c r="D111" s="16"/>
      <c r="E111" s="15"/>
      <c r="F111" s="15"/>
      <c r="G111" s="17"/>
    </row>
    <row r="112" spans="1:7" ht="12" customHeight="1">
      <c r="A112" s="5">
        <v>105</v>
      </c>
      <c r="B112" s="11" t="str">
        <f t="shared" si="3"/>
        <v/>
      </c>
      <c r="C112" s="15"/>
      <c r="D112" s="16"/>
      <c r="E112" s="15"/>
      <c r="F112" s="15"/>
      <c r="G112" s="17"/>
    </row>
    <row r="113" spans="1:7" ht="12" customHeight="1">
      <c r="A113" s="5">
        <v>106</v>
      </c>
      <c r="B113" s="11" t="str">
        <f t="shared" si="3"/>
        <v/>
      </c>
      <c r="C113" s="15"/>
      <c r="D113" s="16"/>
      <c r="E113" s="15"/>
      <c r="F113" s="15"/>
      <c r="G113" s="17"/>
    </row>
    <row r="114" spans="1:7" ht="12" customHeight="1">
      <c r="A114" s="5">
        <v>107</v>
      </c>
      <c r="B114" s="11" t="str">
        <f t="shared" si="3"/>
        <v/>
      </c>
      <c r="C114" s="15"/>
      <c r="D114" s="16"/>
      <c r="E114" s="15"/>
      <c r="F114" s="15"/>
      <c r="G114" s="17"/>
    </row>
    <row r="115" spans="1:7" ht="12" customHeight="1">
      <c r="A115" s="5">
        <v>108</v>
      </c>
      <c r="B115" s="11" t="str">
        <f t="shared" si="3"/>
        <v/>
      </c>
      <c r="C115" s="15"/>
      <c r="D115" s="16"/>
      <c r="E115" s="15"/>
      <c r="F115" s="15"/>
      <c r="G115" s="17"/>
    </row>
    <row r="116" spans="1:7" ht="12" customHeight="1">
      <c r="A116" s="5">
        <v>109</v>
      </c>
      <c r="B116" s="11" t="str">
        <f t="shared" si="3"/>
        <v/>
      </c>
      <c r="C116" s="15"/>
      <c r="D116" s="16"/>
      <c r="E116" s="15"/>
      <c r="F116" s="15"/>
      <c r="G116" s="17"/>
    </row>
    <row r="117" spans="1:7" ht="12" customHeight="1">
      <c r="A117" s="5">
        <v>110</v>
      </c>
      <c r="B117" s="11" t="str">
        <f t="shared" si="3"/>
        <v/>
      </c>
      <c r="C117" s="15"/>
      <c r="D117" s="16"/>
      <c r="E117" s="15"/>
      <c r="F117" s="15"/>
      <c r="G117" s="17"/>
    </row>
    <row r="118" spans="1:7" ht="12" customHeight="1">
      <c r="A118" s="5">
        <v>111</v>
      </c>
      <c r="B118" s="11" t="str">
        <f t="shared" si="3"/>
        <v/>
      </c>
      <c r="C118" s="15"/>
      <c r="D118" s="16"/>
      <c r="E118" s="15"/>
      <c r="F118" s="15"/>
      <c r="G118" s="17"/>
    </row>
    <row r="119" spans="1:7" ht="12" customHeight="1">
      <c r="A119" s="5">
        <v>112</v>
      </c>
      <c r="B119" s="11" t="str">
        <f t="shared" si="3"/>
        <v/>
      </c>
      <c r="C119" s="15"/>
      <c r="D119" s="16"/>
      <c r="E119" s="15"/>
      <c r="F119" s="15"/>
      <c r="G119" s="17"/>
    </row>
    <row r="120" spans="1:7" ht="12" customHeight="1">
      <c r="A120" s="5">
        <v>113</v>
      </c>
      <c r="B120" s="11" t="str">
        <f t="shared" si="3"/>
        <v/>
      </c>
      <c r="C120" s="15"/>
      <c r="D120" s="16"/>
      <c r="E120" s="15"/>
      <c r="F120" s="15"/>
      <c r="G120" s="17"/>
    </row>
    <row r="121" spans="1:7" ht="12" customHeight="1">
      <c r="A121" s="5">
        <v>114</v>
      </c>
      <c r="B121" s="11" t="str">
        <f t="shared" si="3"/>
        <v/>
      </c>
      <c r="C121" s="15"/>
      <c r="D121" s="16"/>
      <c r="E121" s="15"/>
      <c r="F121" s="15"/>
      <c r="G121" s="17"/>
    </row>
    <row r="122" spans="1:7" ht="12" customHeight="1">
      <c r="A122" s="5">
        <v>115</v>
      </c>
      <c r="B122" s="11" t="str">
        <f t="shared" si="3"/>
        <v/>
      </c>
      <c r="C122" s="15"/>
      <c r="D122" s="16"/>
      <c r="E122" s="15"/>
      <c r="F122" s="15"/>
      <c r="G122" s="17"/>
    </row>
    <row r="123" spans="1:7" ht="12" customHeight="1">
      <c r="A123" s="5">
        <v>116</v>
      </c>
      <c r="B123" s="11" t="str">
        <f t="shared" si="3"/>
        <v/>
      </c>
      <c r="C123" s="15"/>
      <c r="D123" s="16"/>
      <c r="E123" s="15"/>
      <c r="F123" s="15"/>
      <c r="G123" s="17"/>
    </row>
    <row r="124" spans="1:7" ht="12" customHeight="1">
      <c r="A124" s="5">
        <v>117</v>
      </c>
      <c r="B124" s="11" t="str">
        <f t="shared" si="3"/>
        <v/>
      </c>
      <c r="C124" s="15"/>
      <c r="D124" s="16"/>
      <c r="E124" s="15"/>
      <c r="F124" s="15"/>
      <c r="G124" s="17"/>
    </row>
    <row r="125" spans="1:7" ht="12" customHeight="1">
      <c r="A125" s="5">
        <v>118</v>
      </c>
      <c r="B125" s="11" t="str">
        <f t="shared" si="3"/>
        <v/>
      </c>
      <c r="C125" s="15"/>
      <c r="D125" s="16"/>
      <c r="E125" s="15"/>
      <c r="F125" s="15"/>
      <c r="G125" s="17"/>
    </row>
    <row r="126" spans="1:7" ht="12" customHeight="1">
      <c r="A126" s="5">
        <v>119</v>
      </c>
      <c r="B126" s="11" t="str">
        <f t="shared" si="3"/>
        <v/>
      </c>
      <c r="C126" s="15"/>
      <c r="D126" s="16"/>
      <c r="E126" s="15"/>
      <c r="F126" s="15"/>
      <c r="G126" s="17"/>
    </row>
    <row r="127" spans="1:7" ht="12" customHeight="1">
      <c r="A127" s="5">
        <v>120</v>
      </c>
      <c r="B127" s="11" t="str">
        <f t="shared" si="3"/>
        <v/>
      </c>
      <c r="C127" s="15"/>
      <c r="D127" s="16"/>
      <c r="E127" s="15"/>
      <c r="F127" s="15"/>
      <c r="G127" s="17"/>
    </row>
    <row r="128" spans="1:7" ht="12" customHeight="1">
      <c r="A128" s="5">
        <v>121</v>
      </c>
      <c r="B128" s="11" t="str">
        <f t="shared" si="3"/>
        <v/>
      </c>
      <c r="C128" s="15"/>
      <c r="D128" s="16"/>
      <c r="E128" s="15"/>
      <c r="F128" s="15"/>
      <c r="G128" s="17"/>
    </row>
    <row r="129" spans="1:7" ht="12" customHeight="1">
      <c r="A129" s="5">
        <v>122</v>
      </c>
      <c r="B129" s="11" t="str">
        <f t="shared" si="3"/>
        <v/>
      </c>
      <c r="C129" s="15"/>
      <c r="D129" s="16"/>
      <c r="E129" s="15"/>
      <c r="F129" s="15"/>
      <c r="G129" s="17"/>
    </row>
    <row r="130" spans="1:7" ht="12" customHeight="1">
      <c r="A130" s="5">
        <v>123</v>
      </c>
      <c r="B130" s="11" t="str">
        <f t="shared" si="3"/>
        <v/>
      </c>
      <c r="C130" s="15"/>
      <c r="D130" s="16"/>
      <c r="E130" s="15"/>
      <c r="F130" s="15"/>
      <c r="G130" s="17"/>
    </row>
    <row r="131" spans="1:7" ht="12" customHeight="1">
      <c r="A131" s="5">
        <v>124</v>
      </c>
      <c r="B131" s="11" t="str">
        <f t="shared" si="3"/>
        <v/>
      </c>
      <c r="C131" s="15"/>
      <c r="D131" s="16"/>
      <c r="E131" s="15"/>
      <c r="F131" s="15"/>
      <c r="G131" s="17"/>
    </row>
    <row r="132" spans="1:7" ht="12" customHeight="1">
      <c r="A132" s="5">
        <v>125</v>
      </c>
      <c r="B132" s="11" t="str">
        <f t="shared" si="3"/>
        <v/>
      </c>
      <c r="C132" s="15"/>
      <c r="D132" s="16"/>
      <c r="E132" s="15"/>
      <c r="F132" s="15"/>
      <c r="G132" s="17"/>
    </row>
    <row r="133" spans="1:7" ht="12" customHeight="1">
      <c r="A133" s="5">
        <v>126</v>
      </c>
      <c r="B133" s="11" t="str">
        <f t="shared" si="3"/>
        <v/>
      </c>
      <c r="C133" s="15"/>
      <c r="D133" s="16"/>
      <c r="E133" s="15"/>
      <c r="F133" s="15"/>
      <c r="G133" s="17"/>
    </row>
    <row r="134" spans="1:7" ht="12" customHeight="1">
      <c r="A134" s="5">
        <v>127</v>
      </c>
      <c r="B134" s="11" t="str">
        <f t="shared" si="3"/>
        <v/>
      </c>
      <c r="C134" s="15"/>
      <c r="D134" s="16"/>
      <c r="E134" s="15"/>
      <c r="F134" s="15"/>
      <c r="G134" s="17"/>
    </row>
    <row r="135" spans="1:7" ht="12" customHeight="1">
      <c r="A135" s="5">
        <v>128</v>
      </c>
      <c r="B135" s="11" t="str">
        <f t="shared" si="3"/>
        <v/>
      </c>
      <c r="C135" s="15"/>
      <c r="D135" s="16"/>
      <c r="E135" s="15"/>
      <c r="F135" s="15"/>
      <c r="G135" s="17"/>
    </row>
    <row r="136" spans="1:7" ht="12" customHeight="1">
      <c r="A136" s="5">
        <v>129</v>
      </c>
      <c r="B136" s="11" t="str">
        <f t="shared" si="3"/>
        <v/>
      </c>
      <c r="C136" s="15"/>
      <c r="D136" s="16"/>
      <c r="E136" s="15"/>
      <c r="F136" s="15"/>
      <c r="G136" s="17"/>
    </row>
    <row r="137" spans="1:7" ht="12" customHeight="1">
      <c r="A137" s="5">
        <v>130</v>
      </c>
      <c r="B137" s="11" t="str">
        <f t="shared" ref="B137:B200" si="4">IF(D137&gt;=$G$6,0,IF(D137="","",(DATEDIF(D137,$G$6,"Y"))))</f>
        <v/>
      </c>
      <c r="C137" s="15"/>
      <c r="D137" s="16"/>
      <c r="E137" s="15"/>
      <c r="F137" s="15"/>
      <c r="G137" s="17"/>
    </row>
    <row r="138" spans="1:7" ht="12" customHeight="1">
      <c r="A138" s="5">
        <v>131</v>
      </c>
      <c r="B138" s="11" t="str">
        <f t="shared" si="4"/>
        <v/>
      </c>
      <c r="C138" s="15"/>
      <c r="D138" s="16"/>
      <c r="E138" s="15"/>
      <c r="F138" s="15"/>
      <c r="G138" s="17"/>
    </row>
    <row r="139" spans="1:7" ht="12" customHeight="1">
      <c r="A139" s="5">
        <v>132</v>
      </c>
      <c r="B139" s="11" t="str">
        <f t="shared" si="4"/>
        <v/>
      </c>
      <c r="C139" s="15"/>
      <c r="D139" s="16"/>
      <c r="E139" s="15"/>
      <c r="F139" s="15"/>
      <c r="G139" s="17"/>
    </row>
    <row r="140" spans="1:7" ht="12" customHeight="1">
      <c r="A140" s="5">
        <v>133</v>
      </c>
      <c r="B140" s="11" t="str">
        <f t="shared" si="4"/>
        <v/>
      </c>
      <c r="C140" s="15"/>
      <c r="D140" s="16"/>
      <c r="E140" s="15"/>
      <c r="F140" s="15"/>
      <c r="G140" s="17"/>
    </row>
    <row r="141" spans="1:7" ht="12" customHeight="1">
      <c r="A141" s="5">
        <v>134</v>
      </c>
      <c r="B141" s="11" t="str">
        <f t="shared" si="4"/>
        <v/>
      </c>
      <c r="C141" s="15"/>
      <c r="D141" s="16"/>
      <c r="E141" s="15"/>
      <c r="F141" s="15"/>
      <c r="G141" s="17"/>
    </row>
    <row r="142" spans="1:7" ht="12" customHeight="1">
      <c r="A142" s="5">
        <v>135</v>
      </c>
      <c r="B142" s="11" t="str">
        <f t="shared" si="4"/>
        <v/>
      </c>
      <c r="C142" s="15"/>
      <c r="D142" s="16"/>
      <c r="E142" s="15"/>
      <c r="F142" s="15"/>
      <c r="G142" s="17"/>
    </row>
    <row r="143" spans="1:7" ht="12" customHeight="1">
      <c r="A143" s="5">
        <v>136</v>
      </c>
      <c r="B143" s="11" t="str">
        <f t="shared" si="4"/>
        <v/>
      </c>
      <c r="C143" s="15"/>
      <c r="D143" s="16"/>
      <c r="E143" s="15"/>
      <c r="F143" s="15"/>
      <c r="G143" s="17"/>
    </row>
    <row r="144" spans="1:7" ht="12" customHeight="1">
      <c r="A144" s="5">
        <v>137</v>
      </c>
      <c r="B144" s="11" t="str">
        <f t="shared" si="4"/>
        <v/>
      </c>
      <c r="C144" s="15"/>
      <c r="D144" s="16"/>
      <c r="E144" s="15"/>
      <c r="F144" s="15"/>
      <c r="G144" s="17"/>
    </row>
    <row r="145" spans="1:7" ht="12" customHeight="1">
      <c r="A145" s="5">
        <v>138</v>
      </c>
      <c r="B145" s="11" t="str">
        <f t="shared" si="4"/>
        <v/>
      </c>
      <c r="C145" s="15"/>
      <c r="D145" s="16"/>
      <c r="E145" s="15"/>
      <c r="F145" s="15"/>
      <c r="G145" s="17"/>
    </row>
    <row r="146" spans="1:7" ht="12" customHeight="1">
      <c r="A146" s="5">
        <v>139</v>
      </c>
      <c r="B146" s="11" t="str">
        <f t="shared" si="4"/>
        <v/>
      </c>
      <c r="C146" s="15"/>
      <c r="D146" s="16"/>
      <c r="E146" s="15"/>
      <c r="F146" s="15"/>
      <c r="G146" s="17"/>
    </row>
    <row r="147" spans="1:7" ht="12" customHeight="1">
      <c r="A147" s="5">
        <v>140</v>
      </c>
      <c r="B147" s="11" t="str">
        <f t="shared" si="4"/>
        <v/>
      </c>
      <c r="C147" s="15"/>
      <c r="D147" s="16"/>
      <c r="E147" s="15"/>
      <c r="F147" s="15"/>
      <c r="G147" s="17"/>
    </row>
    <row r="148" spans="1:7" ht="12" customHeight="1">
      <c r="A148" s="5">
        <v>141</v>
      </c>
      <c r="B148" s="11" t="str">
        <f t="shared" si="4"/>
        <v/>
      </c>
      <c r="C148" s="15"/>
      <c r="D148" s="16"/>
      <c r="E148" s="15"/>
      <c r="F148" s="15"/>
      <c r="G148" s="17"/>
    </row>
    <row r="149" spans="1:7" ht="12" customHeight="1">
      <c r="A149" s="5">
        <v>142</v>
      </c>
      <c r="B149" s="11" t="str">
        <f t="shared" si="4"/>
        <v/>
      </c>
      <c r="C149" s="15"/>
      <c r="D149" s="16"/>
      <c r="E149" s="15"/>
      <c r="F149" s="15"/>
      <c r="G149" s="17"/>
    </row>
    <row r="150" spans="1:7" ht="12" customHeight="1">
      <c r="A150" s="5">
        <v>143</v>
      </c>
      <c r="B150" s="11" t="str">
        <f t="shared" si="4"/>
        <v/>
      </c>
      <c r="C150" s="15"/>
      <c r="D150" s="16"/>
      <c r="E150" s="15"/>
      <c r="F150" s="15"/>
      <c r="G150" s="17"/>
    </row>
    <row r="151" spans="1:7" ht="12" customHeight="1">
      <c r="A151" s="5">
        <v>144</v>
      </c>
      <c r="B151" s="11" t="str">
        <f t="shared" si="4"/>
        <v/>
      </c>
      <c r="C151" s="15"/>
      <c r="D151" s="16"/>
      <c r="E151" s="15"/>
      <c r="F151" s="15"/>
      <c r="G151" s="17"/>
    </row>
    <row r="152" spans="1:7" ht="12" customHeight="1">
      <c r="A152" s="5">
        <v>145</v>
      </c>
      <c r="B152" s="11" t="str">
        <f t="shared" si="4"/>
        <v/>
      </c>
      <c r="C152" s="15"/>
      <c r="D152" s="16"/>
      <c r="E152" s="15"/>
      <c r="F152" s="15"/>
      <c r="G152" s="17"/>
    </row>
    <row r="153" spans="1:7" ht="12" customHeight="1">
      <c r="A153" s="5">
        <v>146</v>
      </c>
      <c r="B153" s="11" t="str">
        <f t="shared" si="4"/>
        <v/>
      </c>
      <c r="C153" s="15"/>
      <c r="D153" s="16"/>
      <c r="E153" s="15"/>
      <c r="F153" s="15"/>
      <c r="G153" s="17"/>
    </row>
    <row r="154" spans="1:7" ht="12" customHeight="1">
      <c r="A154" s="5">
        <v>147</v>
      </c>
      <c r="B154" s="11" t="str">
        <f t="shared" si="4"/>
        <v/>
      </c>
      <c r="C154" s="15"/>
      <c r="D154" s="16"/>
      <c r="E154" s="15"/>
      <c r="F154" s="15"/>
      <c r="G154" s="17"/>
    </row>
    <row r="155" spans="1:7" ht="12" customHeight="1">
      <c r="A155" s="5">
        <v>148</v>
      </c>
      <c r="B155" s="11" t="str">
        <f t="shared" si="4"/>
        <v/>
      </c>
      <c r="C155" s="15"/>
      <c r="D155" s="16"/>
      <c r="E155" s="15"/>
      <c r="F155" s="15"/>
      <c r="G155" s="17"/>
    </row>
    <row r="156" spans="1:7" ht="12" customHeight="1">
      <c r="A156" s="5">
        <v>149</v>
      </c>
      <c r="B156" s="11" t="str">
        <f t="shared" si="4"/>
        <v/>
      </c>
      <c r="C156" s="15"/>
      <c r="D156" s="16"/>
      <c r="E156" s="15"/>
      <c r="F156" s="15"/>
      <c r="G156" s="17"/>
    </row>
    <row r="157" spans="1:7" ht="12" customHeight="1">
      <c r="A157" s="5">
        <v>150</v>
      </c>
      <c r="B157" s="11" t="str">
        <f t="shared" si="4"/>
        <v/>
      </c>
      <c r="C157" s="15"/>
      <c r="D157" s="16"/>
      <c r="E157" s="15"/>
      <c r="F157" s="15"/>
      <c r="G157" s="17"/>
    </row>
    <row r="158" spans="1:7" ht="12" customHeight="1">
      <c r="A158" s="5">
        <v>151</v>
      </c>
      <c r="B158" s="11" t="str">
        <f t="shared" si="4"/>
        <v/>
      </c>
      <c r="C158" s="15"/>
      <c r="D158" s="16"/>
      <c r="E158" s="15"/>
      <c r="F158" s="15"/>
      <c r="G158" s="17"/>
    </row>
    <row r="159" spans="1:7" ht="12" customHeight="1">
      <c r="A159" s="5">
        <v>152</v>
      </c>
      <c r="B159" s="11" t="str">
        <f t="shared" si="4"/>
        <v/>
      </c>
      <c r="C159" s="15"/>
      <c r="D159" s="16"/>
      <c r="E159" s="15"/>
      <c r="F159" s="15"/>
      <c r="G159" s="17"/>
    </row>
    <row r="160" spans="1:7" ht="12" customHeight="1">
      <c r="A160" s="5">
        <v>153</v>
      </c>
      <c r="B160" s="11" t="str">
        <f t="shared" si="4"/>
        <v/>
      </c>
      <c r="C160" s="15"/>
      <c r="D160" s="16"/>
      <c r="E160" s="15"/>
      <c r="F160" s="15"/>
      <c r="G160" s="17"/>
    </row>
    <row r="161" spans="1:7" ht="12" customHeight="1">
      <c r="A161" s="5">
        <v>154</v>
      </c>
      <c r="B161" s="11" t="str">
        <f t="shared" si="4"/>
        <v/>
      </c>
      <c r="C161" s="15"/>
      <c r="D161" s="16"/>
      <c r="E161" s="15"/>
      <c r="F161" s="15"/>
      <c r="G161" s="17"/>
    </row>
    <row r="162" spans="1:7" ht="12" customHeight="1">
      <c r="A162" s="5">
        <v>155</v>
      </c>
      <c r="B162" s="11" t="str">
        <f t="shared" si="4"/>
        <v/>
      </c>
      <c r="C162" s="15"/>
      <c r="D162" s="16"/>
      <c r="E162" s="15"/>
      <c r="F162" s="15"/>
      <c r="G162" s="17"/>
    </row>
    <row r="163" spans="1:7" ht="12" customHeight="1">
      <c r="A163" s="5">
        <v>156</v>
      </c>
      <c r="B163" s="11" t="str">
        <f t="shared" si="4"/>
        <v/>
      </c>
      <c r="C163" s="15"/>
      <c r="D163" s="16"/>
      <c r="E163" s="15"/>
      <c r="F163" s="15"/>
      <c r="G163" s="17"/>
    </row>
    <row r="164" spans="1:7" ht="12" customHeight="1">
      <c r="A164" s="5">
        <v>157</v>
      </c>
      <c r="B164" s="11" t="str">
        <f t="shared" si="4"/>
        <v/>
      </c>
      <c r="C164" s="15"/>
      <c r="D164" s="16"/>
      <c r="E164" s="15"/>
      <c r="F164" s="15"/>
      <c r="G164" s="17"/>
    </row>
    <row r="165" spans="1:7" ht="12" customHeight="1">
      <c r="A165" s="5">
        <v>158</v>
      </c>
      <c r="B165" s="11" t="str">
        <f t="shared" si="4"/>
        <v/>
      </c>
      <c r="C165" s="15"/>
      <c r="D165" s="16"/>
      <c r="E165" s="15"/>
      <c r="F165" s="15"/>
      <c r="G165" s="17"/>
    </row>
    <row r="166" spans="1:7" ht="12" customHeight="1">
      <c r="A166" s="5">
        <v>159</v>
      </c>
      <c r="B166" s="11" t="str">
        <f t="shared" si="4"/>
        <v/>
      </c>
      <c r="C166" s="15"/>
      <c r="D166" s="16"/>
      <c r="E166" s="15"/>
      <c r="F166" s="15"/>
      <c r="G166" s="17"/>
    </row>
    <row r="167" spans="1:7" ht="12" customHeight="1">
      <c r="A167" s="5">
        <v>160</v>
      </c>
      <c r="B167" s="11" t="str">
        <f t="shared" si="4"/>
        <v/>
      </c>
      <c r="C167" s="15"/>
      <c r="D167" s="16"/>
      <c r="E167" s="15"/>
      <c r="F167" s="15"/>
      <c r="G167" s="17"/>
    </row>
    <row r="168" spans="1:7" ht="12" customHeight="1">
      <c r="A168" s="5">
        <v>161</v>
      </c>
      <c r="B168" s="11" t="str">
        <f t="shared" si="4"/>
        <v/>
      </c>
      <c r="C168" s="15"/>
      <c r="D168" s="16"/>
      <c r="E168" s="15"/>
      <c r="F168" s="15"/>
      <c r="G168" s="17"/>
    </row>
    <row r="169" spans="1:7" ht="12" customHeight="1">
      <c r="A169" s="5">
        <v>162</v>
      </c>
      <c r="B169" s="11" t="str">
        <f t="shared" si="4"/>
        <v/>
      </c>
      <c r="C169" s="15"/>
      <c r="D169" s="16"/>
      <c r="E169" s="15"/>
      <c r="F169" s="15"/>
      <c r="G169" s="17"/>
    </row>
    <row r="170" spans="1:7" ht="12" customHeight="1">
      <c r="A170" s="5">
        <v>163</v>
      </c>
      <c r="B170" s="11" t="str">
        <f t="shared" si="4"/>
        <v/>
      </c>
      <c r="C170" s="15"/>
      <c r="D170" s="16"/>
      <c r="E170" s="15"/>
      <c r="F170" s="15"/>
      <c r="G170" s="17"/>
    </row>
    <row r="171" spans="1:7" ht="12" customHeight="1">
      <c r="A171" s="5">
        <v>164</v>
      </c>
      <c r="B171" s="11" t="str">
        <f t="shared" si="4"/>
        <v/>
      </c>
      <c r="C171" s="15"/>
      <c r="D171" s="16"/>
      <c r="E171" s="15"/>
      <c r="F171" s="15"/>
      <c r="G171" s="17"/>
    </row>
    <row r="172" spans="1:7" ht="12" customHeight="1">
      <c r="A172" s="5">
        <v>165</v>
      </c>
      <c r="B172" s="11" t="str">
        <f t="shared" si="4"/>
        <v/>
      </c>
      <c r="C172" s="15"/>
      <c r="D172" s="16"/>
      <c r="E172" s="15"/>
      <c r="F172" s="15"/>
      <c r="G172" s="17"/>
    </row>
    <row r="173" spans="1:7" ht="12" customHeight="1">
      <c r="A173" s="5">
        <v>166</v>
      </c>
      <c r="B173" s="11" t="str">
        <f t="shared" si="4"/>
        <v/>
      </c>
      <c r="C173" s="15"/>
      <c r="D173" s="16"/>
      <c r="E173" s="15"/>
      <c r="F173" s="15"/>
      <c r="G173" s="17"/>
    </row>
    <row r="174" spans="1:7" ht="12" customHeight="1">
      <c r="A174" s="5">
        <v>167</v>
      </c>
      <c r="B174" s="11" t="str">
        <f t="shared" si="4"/>
        <v/>
      </c>
      <c r="C174" s="15"/>
      <c r="D174" s="16"/>
      <c r="E174" s="15"/>
      <c r="F174" s="15"/>
      <c r="G174" s="17"/>
    </row>
    <row r="175" spans="1:7" ht="12" customHeight="1">
      <c r="A175" s="5">
        <v>168</v>
      </c>
      <c r="B175" s="11" t="str">
        <f t="shared" si="4"/>
        <v/>
      </c>
      <c r="C175" s="15"/>
      <c r="D175" s="16"/>
      <c r="E175" s="15"/>
      <c r="F175" s="15"/>
      <c r="G175" s="17"/>
    </row>
    <row r="176" spans="1:7" ht="12" customHeight="1">
      <c r="A176" s="5">
        <v>169</v>
      </c>
      <c r="B176" s="11" t="str">
        <f t="shared" si="4"/>
        <v/>
      </c>
      <c r="C176" s="15"/>
      <c r="D176" s="16"/>
      <c r="E176" s="15"/>
      <c r="F176" s="15"/>
      <c r="G176" s="17"/>
    </row>
    <row r="177" spans="1:7" ht="12" customHeight="1">
      <c r="A177" s="5">
        <v>170</v>
      </c>
      <c r="B177" s="11" t="str">
        <f t="shared" si="4"/>
        <v/>
      </c>
      <c r="C177" s="15"/>
      <c r="D177" s="16"/>
      <c r="E177" s="15"/>
      <c r="F177" s="15"/>
      <c r="G177" s="17"/>
    </row>
    <row r="178" spans="1:7" ht="12" customHeight="1">
      <c r="A178" s="5">
        <v>171</v>
      </c>
      <c r="B178" s="11" t="str">
        <f t="shared" si="4"/>
        <v/>
      </c>
      <c r="C178" s="15"/>
      <c r="D178" s="16"/>
      <c r="E178" s="15"/>
      <c r="F178" s="15"/>
      <c r="G178" s="17"/>
    </row>
    <row r="179" spans="1:7" ht="12" customHeight="1">
      <c r="A179" s="5">
        <v>172</v>
      </c>
      <c r="B179" s="11" t="str">
        <f t="shared" si="4"/>
        <v/>
      </c>
      <c r="C179" s="15"/>
      <c r="D179" s="16"/>
      <c r="E179" s="15"/>
      <c r="F179" s="15"/>
      <c r="G179" s="17"/>
    </row>
    <row r="180" spans="1:7" ht="12" customHeight="1">
      <c r="A180" s="5">
        <v>173</v>
      </c>
      <c r="B180" s="11" t="str">
        <f t="shared" si="4"/>
        <v/>
      </c>
      <c r="C180" s="15"/>
      <c r="D180" s="16"/>
      <c r="E180" s="15"/>
      <c r="F180" s="15"/>
      <c r="G180" s="17"/>
    </row>
    <row r="181" spans="1:7" ht="12" customHeight="1">
      <c r="A181" s="5">
        <v>174</v>
      </c>
      <c r="B181" s="11" t="str">
        <f t="shared" si="4"/>
        <v/>
      </c>
      <c r="C181" s="15"/>
      <c r="D181" s="16"/>
      <c r="E181" s="15"/>
      <c r="F181" s="15"/>
      <c r="G181" s="17"/>
    </row>
    <row r="182" spans="1:7" ht="12" customHeight="1">
      <c r="A182" s="5">
        <v>175</v>
      </c>
      <c r="B182" s="11" t="str">
        <f t="shared" si="4"/>
        <v/>
      </c>
      <c r="C182" s="15"/>
      <c r="D182" s="16"/>
      <c r="E182" s="15"/>
      <c r="F182" s="15"/>
      <c r="G182" s="17"/>
    </row>
    <row r="183" spans="1:7" ht="12" customHeight="1">
      <c r="A183" s="5">
        <v>176</v>
      </c>
      <c r="B183" s="11" t="str">
        <f t="shared" si="4"/>
        <v/>
      </c>
      <c r="C183" s="15"/>
      <c r="D183" s="16"/>
      <c r="E183" s="15"/>
      <c r="F183" s="15"/>
      <c r="G183" s="17"/>
    </row>
    <row r="184" spans="1:7" ht="12" customHeight="1">
      <c r="A184" s="5">
        <v>177</v>
      </c>
      <c r="B184" s="11" t="str">
        <f t="shared" si="4"/>
        <v/>
      </c>
      <c r="C184" s="15"/>
      <c r="D184" s="16"/>
      <c r="E184" s="15"/>
      <c r="F184" s="15"/>
      <c r="G184" s="17"/>
    </row>
    <row r="185" spans="1:7" ht="12" customHeight="1">
      <c r="A185" s="5">
        <v>178</v>
      </c>
      <c r="B185" s="11" t="str">
        <f t="shared" si="4"/>
        <v/>
      </c>
      <c r="C185" s="15"/>
      <c r="D185" s="16"/>
      <c r="E185" s="15"/>
      <c r="F185" s="15"/>
      <c r="G185" s="17"/>
    </row>
    <row r="186" spans="1:7" ht="12" customHeight="1">
      <c r="A186" s="5">
        <v>179</v>
      </c>
      <c r="B186" s="11" t="str">
        <f t="shared" si="4"/>
        <v/>
      </c>
      <c r="C186" s="15"/>
      <c r="D186" s="16"/>
      <c r="E186" s="15"/>
      <c r="F186" s="15"/>
      <c r="G186" s="17"/>
    </row>
    <row r="187" spans="1:7" ht="12" customHeight="1">
      <c r="A187" s="5">
        <v>180</v>
      </c>
      <c r="B187" s="11" t="str">
        <f t="shared" si="4"/>
        <v/>
      </c>
      <c r="C187" s="15"/>
      <c r="D187" s="16"/>
      <c r="E187" s="15"/>
      <c r="F187" s="15"/>
      <c r="G187" s="17"/>
    </row>
    <row r="188" spans="1:7" ht="12" customHeight="1">
      <c r="A188" s="5">
        <v>181</v>
      </c>
      <c r="B188" s="11" t="str">
        <f t="shared" si="4"/>
        <v/>
      </c>
      <c r="C188" s="15"/>
      <c r="D188" s="16"/>
      <c r="E188" s="15"/>
      <c r="F188" s="15"/>
      <c r="G188" s="17"/>
    </row>
    <row r="189" spans="1:7" ht="12" customHeight="1">
      <c r="A189" s="5">
        <v>182</v>
      </c>
      <c r="B189" s="11" t="str">
        <f t="shared" si="4"/>
        <v/>
      </c>
      <c r="C189" s="15"/>
      <c r="D189" s="16"/>
      <c r="E189" s="15"/>
      <c r="F189" s="15"/>
      <c r="G189" s="17"/>
    </row>
    <row r="190" spans="1:7" ht="12" customHeight="1">
      <c r="A190" s="5">
        <v>183</v>
      </c>
      <c r="B190" s="11" t="str">
        <f t="shared" si="4"/>
        <v/>
      </c>
      <c r="C190" s="15"/>
      <c r="D190" s="16"/>
      <c r="E190" s="15"/>
      <c r="F190" s="15"/>
      <c r="G190" s="17"/>
    </row>
    <row r="191" spans="1:7" ht="12" customHeight="1">
      <c r="A191" s="5">
        <v>184</v>
      </c>
      <c r="B191" s="11" t="str">
        <f t="shared" si="4"/>
        <v/>
      </c>
      <c r="C191" s="15"/>
      <c r="D191" s="16"/>
      <c r="E191" s="15"/>
      <c r="F191" s="15"/>
      <c r="G191" s="17"/>
    </row>
    <row r="192" spans="1:7" ht="12" customHeight="1">
      <c r="A192" s="5">
        <v>185</v>
      </c>
      <c r="B192" s="11" t="str">
        <f t="shared" si="4"/>
        <v/>
      </c>
      <c r="C192" s="15"/>
      <c r="D192" s="16"/>
      <c r="E192" s="15"/>
      <c r="F192" s="15"/>
      <c r="G192" s="17"/>
    </row>
    <row r="193" spans="1:7" ht="12" customHeight="1">
      <c r="A193" s="5">
        <v>186</v>
      </c>
      <c r="B193" s="11" t="str">
        <f t="shared" si="4"/>
        <v/>
      </c>
      <c r="C193" s="15"/>
      <c r="D193" s="16"/>
      <c r="E193" s="15"/>
      <c r="F193" s="15"/>
      <c r="G193" s="17"/>
    </row>
    <row r="194" spans="1:7" ht="12" customHeight="1">
      <c r="A194" s="5">
        <v>187</v>
      </c>
      <c r="B194" s="11" t="str">
        <f t="shared" si="4"/>
        <v/>
      </c>
      <c r="C194" s="15"/>
      <c r="D194" s="16"/>
      <c r="E194" s="15"/>
      <c r="F194" s="15"/>
      <c r="G194" s="17"/>
    </row>
    <row r="195" spans="1:7" ht="12" customHeight="1">
      <c r="A195" s="5">
        <v>188</v>
      </c>
      <c r="B195" s="11" t="str">
        <f t="shared" si="4"/>
        <v/>
      </c>
      <c r="C195" s="15"/>
      <c r="D195" s="16"/>
      <c r="E195" s="15"/>
      <c r="F195" s="15"/>
      <c r="G195" s="17"/>
    </row>
    <row r="196" spans="1:7" ht="12" customHeight="1">
      <c r="A196" s="5">
        <v>189</v>
      </c>
      <c r="B196" s="11" t="str">
        <f t="shared" si="4"/>
        <v/>
      </c>
      <c r="C196" s="15"/>
      <c r="D196" s="16"/>
      <c r="E196" s="15"/>
      <c r="F196" s="15"/>
      <c r="G196" s="17"/>
    </row>
    <row r="197" spans="1:7" ht="12" customHeight="1">
      <c r="A197" s="5">
        <v>190</v>
      </c>
      <c r="B197" s="11" t="str">
        <f t="shared" si="4"/>
        <v/>
      </c>
      <c r="C197" s="15"/>
      <c r="D197" s="16"/>
      <c r="E197" s="15"/>
      <c r="F197" s="15"/>
      <c r="G197" s="17"/>
    </row>
    <row r="198" spans="1:7" ht="12" customHeight="1">
      <c r="A198" s="5">
        <v>191</v>
      </c>
      <c r="B198" s="11" t="str">
        <f t="shared" si="4"/>
        <v/>
      </c>
      <c r="C198" s="15"/>
      <c r="D198" s="16"/>
      <c r="E198" s="15"/>
      <c r="F198" s="15"/>
      <c r="G198" s="17"/>
    </row>
    <row r="199" spans="1:7" ht="12" customHeight="1">
      <c r="A199" s="5">
        <v>192</v>
      </c>
      <c r="B199" s="11" t="str">
        <f t="shared" si="4"/>
        <v/>
      </c>
      <c r="C199" s="15"/>
      <c r="D199" s="16"/>
      <c r="E199" s="15"/>
      <c r="F199" s="15"/>
      <c r="G199" s="17"/>
    </row>
    <row r="200" spans="1:7" ht="12" customHeight="1">
      <c r="A200" s="5">
        <v>193</v>
      </c>
      <c r="B200" s="11" t="str">
        <f t="shared" si="4"/>
        <v/>
      </c>
      <c r="C200" s="15"/>
      <c r="D200" s="16"/>
      <c r="E200" s="15"/>
      <c r="F200" s="15"/>
      <c r="G200" s="17"/>
    </row>
    <row r="201" spans="1:7" ht="12" customHeight="1">
      <c r="A201" s="5">
        <v>194</v>
      </c>
      <c r="B201" s="11" t="str">
        <f t="shared" ref="B201:B207" si="5">IF(D201&gt;=$G$6,0,IF(D201="","",(DATEDIF(D201,$G$6,"Y"))))</f>
        <v/>
      </c>
      <c r="C201" s="15"/>
      <c r="D201" s="16"/>
      <c r="E201" s="15"/>
      <c r="F201" s="15"/>
      <c r="G201" s="17"/>
    </row>
    <row r="202" spans="1:7" ht="12" customHeight="1">
      <c r="A202" s="5">
        <v>195</v>
      </c>
      <c r="B202" s="11" t="str">
        <f t="shared" si="5"/>
        <v/>
      </c>
      <c r="C202" s="15"/>
      <c r="D202" s="16"/>
      <c r="E202" s="15"/>
      <c r="F202" s="15"/>
      <c r="G202" s="17"/>
    </row>
    <row r="203" spans="1:7" ht="12" customHeight="1">
      <c r="A203" s="5">
        <v>196</v>
      </c>
      <c r="B203" s="11" t="str">
        <f t="shared" si="5"/>
        <v/>
      </c>
      <c r="C203" s="15"/>
      <c r="D203" s="16"/>
      <c r="E203" s="15"/>
      <c r="F203" s="15"/>
      <c r="G203" s="17"/>
    </row>
    <row r="204" spans="1:7" ht="12" customHeight="1">
      <c r="A204" s="5">
        <v>197</v>
      </c>
      <c r="B204" s="11" t="str">
        <f t="shared" si="5"/>
        <v/>
      </c>
      <c r="C204" s="15"/>
      <c r="D204" s="16"/>
      <c r="E204" s="15"/>
      <c r="F204" s="15"/>
      <c r="G204" s="17"/>
    </row>
    <row r="205" spans="1:7" ht="12" customHeight="1">
      <c r="A205" s="5">
        <v>198</v>
      </c>
      <c r="B205" s="11" t="str">
        <f t="shared" si="5"/>
        <v/>
      </c>
      <c r="C205" s="15"/>
      <c r="D205" s="16"/>
      <c r="E205" s="15"/>
      <c r="F205" s="15"/>
      <c r="G205" s="17"/>
    </row>
    <row r="206" spans="1:7" ht="12" customHeight="1">
      <c r="A206" s="5">
        <v>199</v>
      </c>
      <c r="B206" s="11" t="str">
        <f t="shared" si="5"/>
        <v/>
      </c>
      <c r="C206" s="15"/>
      <c r="D206" s="16"/>
      <c r="E206" s="15"/>
      <c r="F206" s="15"/>
      <c r="G206" s="17"/>
    </row>
    <row r="207" spans="1:7" ht="12" customHeight="1">
      <c r="A207" s="5">
        <v>200</v>
      </c>
      <c r="B207" s="11" t="str">
        <f t="shared" si="5"/>
        <v/>
      </c>
      <c r="C207" s="15"/>
      <c r="D207" s="16"/>
      <c r="E207" s="15"/>
      <c r="F207" s="15"/>
      <c r="G207" s="17"/>
    </row>
    <row r="208" spans="1:7" ht="12" customHeight="1">
      <c r="A208" s="5">
        <v>201</v>
      </c>
      <c r="B208" s="11" t="str">
        <f t="shared" ref="B208:B264" si="6">IF(D208&gt;=$G$6,0,IF(D208="","",(DATEDIF(D208,$G$6,"Y"))))</f>
        <v/>
      </c>
      <c r="C208" s="15"/>
      <c r="D208" s="16"/>
      <c r="E208" s="15"/>
      <c r="F208" s="15"/>
      <c r="G208" s="17"/>
    </row>
    <row r="209" spans="1:7" ht="12" customHeight="1">
      <c r="A209" s="5">
        <v>202</v>
      </c>
      <c r="B209" s="11" t="str">
        <f t="shared" si="6"/>
        <v/>
      </c>
      <c r="C209" s="15"/>
      <c r="D209" s="16"/>
      <c r="E209" s="15"/>
      <c r="F209" s="15"/>
      <c r="G209" s="17"/>
    </row>
    <row r="210" spans="1:7" ht="12" customHeight="1">
      <c r="A210" s="5">
        <v>203</v>
      </c>
      <c r="B210" s="11" t="str">
        <f t="shared" si="6"/>
        <v/>
      </c>
      <c r="C210" s="15"/>
      <c r="D210" s="16"/>
      <c r="E210" s="15"/>
      <c r="F210" s="15"/>
      <c r="G210" s="17"/>
    </row>
    <row r="211" spans="1:7" ht="12" customHeight="1">
      <c r="A211" s="5">
        <v>204</v>
      </c>
      <c r="B211" s="11" t="str">
        <f t="shared" si="6"/>
        <v/>
      </c>
      <c r="C211" s="15"/>
      <c r="D211" s="16"/>
      <c r="E211" s="15"/>
      <c r="F211" s="15"/>
      <c r="G211" s="17"/>
    </row>
    <row r="212" spans="1:7" ht="12" customHeight="1">
      <c r="A212" s="5">
        <v>205</v>
      </c>
      <c r="B212" s="11" t="str">
        <f t="shared" si="6"/>
        <v/>
      </c>
      <c r="C212" s="15"/>
      <c r="D212" s="16"/>
      <c r="E212" s="15"/>
      <c r="F212" s="15"/>
      <c r="G212" s="17"/>
    </row>
    <row r="213" spans="1:7" ht="12" customHeight="1">
      <c r="A213" s="5">
        <v>206</v>
      </c>
      <c r="B213" s="11" t="str">
        <f t="shared" si="6"/>
        <v/>
      </c>
      <c r="C213" s="15"/>
      <c r="D213" s="16"/>
      <c r="E213" s="15"/>
      <c r="F213" s="15"/>
      <c r="G213" s="17"/>
    </row>
    <row r="214" spans="1:7" ht="12" customHeight="1">
      <c r="A214" s="5">
        <v>207</v>
      </c>
      <c r="B214" s="11" t="str">
        <f t="shared" si="6"/>
        <v/>
      </c>
      <c r="C214" s="15"/>
      <c r="D214" s="16"/>
      <c r="E214" s="15"/>
      <c r="F214" s="15"/>
      <c r="G214" s="17"/>
    </row>
    <row r="215" spans="1:7" ht="12" customHeight="1">
      <c r="A215" s="5">
        <v>208</v>
      </c>
      <c r="B215" s="11" t="str">
        <f t="shared" si="6"/>
        <v/>
      </c>
      <c r="C215" s="15"/>
      <c r="D215" s="16"/>
      <c r="E215" s="15"/>
      <c r="F215" s="15"/>
      <c r="G215" s="17"/>
    </row>
    <row r="216" spans="1:7" ht="12" customHeight="1">
      <c r="A216" s="5">
        <v>209</v>
      </c>
      <c r="B216" s="11" t="str">
        <f t="shared" si="6"/>
        <v/>
      </c>
      <c r="C216" s="15"/>
      <c r="D216" s="16"/>
      <c r="E216" s="15"/>
      <c r="F216" s="15"/>
      <c r="G216" s="17"/>
    </row>
    <row r="217" spans="1:7" ht="12" customHeight="1">
      <c r="A217" s="5">
        <v>210</v>
      </c>
      <c r="B217" s="11" t="str">
        <f t="shared" si="6"/>
        <v/>
      </c>
      <c r="C217" s="15"/>
      <c r="D217" s="16"/>
      <c r="E217" s="15"/>
      <c r="F217" s="15"/>
      <c r="G217" s="17"/>
    </row>
    <row r="218" spans="1:7" ht="12" customHeight="1">
      <c r="A218" s="5">
        <v>211</v>
      </c>
      <c r="B218" s="11" t="str">
        <f t="shared" si="6"/>
        <v/>
      </c>
      <c r="C218" s="15"/>
      <c r="D218" s="16"/>
      <c r="E218" s="15"/>
      <c r="F218" s="15"/>
      <c r="G218" s="17"/>
    </row>
    <row r="219" spans="1:7" ht="12" customHeight="1">
      <c r="A219" s="5">
        <v>212</v>
      </c>
      <c r="B219" s="11" t="str">
        <f t="shared" si="6"/>
        <v/>
      </c>
      <c r="C219" s="15"/>
      <c r="D219" s="16"/>
      <c r="E219" s="15"/>
      <c r="F219" s="15"/>
      <c r="G219" s="17"/>
    </row>
    <row r="220" spans="1:7" ht="12" customHeight="1">
      <c r="A220" s="5">
        <v>213</v>
      </c>
      <c r="B220" s="11" t="str">
        <f t="shared" si="6"/>
        <v/>
      </c>
      <c r="C220" s="15"/>
      <c r="D220" s="16"/>
      <c r="E220" s="15"/>
      <c r="F220" s="15"/>
      <c r="G220" s="17"/>
    </row>
    <row r="221" spans="1:7" ht="12" customHeight="1">
      <c r="A221" s="5">
        <v>214</v>
      </c>
      <c r="B221" s="11" t="str">
        <f t="shared" si="6"/>
        <v/>
      </c>
      <c r="C221" s="15"/>
      <c r="D221" s="16"/>
      <c r="E221" s="15"/>
      <c r="F221" s="15"/>
      <c r="G221" s="17"/>
    </row>
    <row r="222" spans="1:7" ht="12" customHeight="1">
      <c r="A222" s="5">
        <v>215</v>
      </c>
      <c r="B222" s="11" t="str">
        <f t="shared" si="6"/>
        <v/>
      </c>
      <c r="C222" s="15"/>
      <c r="D222" s="16"/>
      <c r="E222" s="15"/>
      <c r="F222" s="15"/>
      <c r="G222" s="17"/>
    </row>
    <row r="223" spans="1:7" ht="12" customHeight="1">
      <c r="A223" s="5">
        <v>216</v>
      </c>
      <c r="B223" s="11" t="str">
        <f t="shared" si="6"/>
        <v/>
      </c>
      <c r="C223" s="15"/>
      <c r="D223" s="16"/>
      <c r="E223" s="15"/>
      <c r="F223" s="15"/>
      <c r="G223" s="17"/>
    </row>
    <row r="224" spans="1:7" ht="12" customHeight="1">
      <c r="A224" s="5">
        <v>217</v>
      </c>
      <c r="B224" s="11" t="str">
        <f t="shared" si="6"/>
        <v/>
      </c>
      <c r="C224" s="15"/>
      <c r="D224" s="16"/>
      <c r="E224" s="15"/>
      <c r="F224" s="15"/>
      <c r="G224" s="17"/>
    </row>
    <row r="225" spans="1:7" ht="12" customHeight="1">
      <c r="A225" s="5">
        <v>218</v>
      </c>
      <c r="B225" s="11" t="str">
        <f t="shared" si="6"/>
        <v/>
      </c>
      <c r="C225" s="15"/>
      <c r="D225" s="16"/>
      <c r="E225" s="15"/>
      <c r="F225" s="15"/>
      <c r="G225" s="17"/>
    </row>
    <row r="226" spans="1:7" ht="12" customHeight="1">
      <c r="A226" s="5">
        <v>219</v>
      </c>
      <c r="B226" s="11" t="str">
        <f t="shared" si="6"/>
        <v/>
      </c>
      <c r="C226" s="15"/>
      <c r="D226" s="16"/>
      <c r="E226" s="15"/>
      <c r="F226" s="15"/>
      <c r="G226" s="17"/>
    </row>
    <row r="227" spans="1:7" ht="12" customHeight="1">
      <c r="A227" s="5">
        <v>220</v>
      </c>
      <c r="B227" s="11" t="str">
        <f t="shared" si="6"/>
        <v/>
      </c>
      <c r="C227" s="15"/>
      <c r="D227" s="16"/>
      <c r="E227" s="15"/>
      <c r="F227" s="15"/>
      <c r="G227" s="17"/>
    </row>
    <row r="228" spans="1:7" ht="12" customHeight="1">
      <c r="A228" s="5">
        <v>221</v>
      </c>
      <c r="B228" s="11" t="str">
        <f t="shared" si="6"/>
        <v/>
      </c>
      <c r="C228" s="15"/>
      <c r="D228" s="16"/>
      <c r="E228" s="15"/>
      <c r="F228" s="15"/>
      <c r="G228" s="17"/>
    </row>
    <row r="229" spans="1:7" ht="12" customHeight="1">
      <c r="A229" s="5">
        <v>222</v>
      </c>
      <c r="B229" s="11" t="str">
        <f t="shared" si="6"/>
        <v/>
      </c>
      <c r="C229" s="15"/>
      <c r="D229" s="16"/>
      <c r="E229" s="15"/>
      <c r="F229" s="15"/>
      <c r="G229" s="17"/>
    </row>
    <row r="230" spans="1:7" ht="12" customHeight="1">
      <c r="A230" s="5">
        <v>223</v>
      </c>
      <c r="B230" s="11" t="str">
        <f t="shared" si="6"/>
        <v/>
      </c>
      <c r="C230" s="15"/>
      <c r="D230" s="16"/>
      <c r="E230" s="15"/>
      <c r="F230" s="15"/>
      <c r="G230" s="17"/>
    </row>
    <row r="231" spans="1:7" ht="12" customHeight="1">
      <c r="A231" s="5">
        <v>224</v>
      </c>
      <c r="B231" s="11" t="str">
        <f t="shared" si="6"/>
        <v/>
      </c>
      <c r="C231" s="15"/>
      <c r="D231" s="16"/>
      <c r="E231" s="15"/>
      <c r="F231" s="15"/>
      <c r="G231" s="17"/>
    </row>
    <row r="232" spans="1:7" ht="12" customHeight="1">
      <c r="A232" s="5">
        <v>225</v>
      </c>
      <c r="B232" s="11" t="str">
        <f t="shared" si="6"/>
        <v/>
      </c>
      <c r="C232" s="15"/>
      <c r="D232" s="16"/>
      <c r="E232" s="15"/>
      <c r="F232" s="15"/>
      <c r="G232" s="17"/>
    </row>
    <row r="233" spans="1:7" ht="12" customHeight="1">
      <c r="A233" s="5">
        <v>226</v>
      </c>
      <c r="B233" s="11" t="str">
        <f t="shared" si="6"/>
        <v/>
      </c>
      <c r="C233" s="15"/>
      <c r="D233" s="16"/>
      <c r="E233" s="15"/>
      <c r="F233" s="15"/>
      <c r="G233" s="17"/>
    </row>
    <row r="234" spans="1:7" ht="12" customHeight="1">
      <c r="A234" s="5">
        <v>227</v>
      </c>
      <c r="B234" s="11" t="str">
        <f t="shared" si="6"/>
        <v/>
      </c>
      <c r="C234" s="15"/>
      <c r="D234" s="16"/>
      <c r="E234" s="15"/>
      <c r="F234" s="15"/>
      <c r="G234" s="17"/>
    </row>
    <row r="235" spans="1:7" ht="12" customHeight="1">
      <c r="A235" s="5">
        <v>228</v>
      </c>
      <c r="B235" s="11" t="str">
        <f t="shared" si="6"/>
        <v/>
      </c>
      <c r="C235" s="15"/>
      <c r="D235" s="16"/>
      <c r="E235" s="15"/>
      <c r="F235" s="15"/>
      <c r="G235" s="17"/>
    </row>
    <row r="236" spans="1:7" ht="12" customHeight="1">
      <c r="A236" s="5">
        <v>229</v>
      </c>
      <c r="B236" s="11" t="str">
        <f t="shared" si="6"/>
        <v/>
      </c>
      <c r="C236" s="15"/>
      <c r="D236" s="16"/>
      <c r="E236" s="15"/>
      <c r="F236" s="15"/>
      <c r="G236" s="17"/>
    </row>
    <row r="237" spans="1:7" ht="12" customHeight="1">
      <c r="A237" s="5">
        <v>230</v>
      </c>
      <c r="B237" s="11" t="str">
        <f t="shared" si="6"/>
        <v/>
      </c>
      <c r="C237" s="15"/>
      <c r="D237" s="16"/>
      <c r="E237" s="15"/>
      <c r="F237" s="15"/>
      <c r="G237" s="17"/>
    </row>
    <row r="238" spans="1:7" ht="12" customHeight="1">
      <c r="A238" s="5">
        <v>231</v>
      </c>
      <c r="B238" s="11" t="str">
        <f t="shared" si="6"/>
        <v/>
      </c>
      <c r="C238" s="15"/>
      <c r="D238" s="16"/>
      <c r="E238" s="15"/>
      <c r="F238" s="15"/>
      <c r="G238" s="17"/>
    </row>
    <row r="239" spans="1:7" ht="12" customHeight="1">
      <c r="A239" s="5">
        <v>232</v>
      </c>
      <c r="B239" s="11" t="str">
        <f t="shared" si="6"/>
        <v/>
      </c>
      <c r="C239" s="15"/>
      <c r="D239" s="16"/>
      <c r="E239" s="15"/>
      <c r="F239" s="15"/>
      <c r="G239" s="17"/>
    </row>
    <row r="240" spans="1:7" ht="12" customHeight="1">
      <c r="A240" s="5">
        <v>233</v>
      </c>
      <c r="B240" s="11" t="str">
        <f t="shared" si="6"/>
        <v/>
      </c>
      <c r="C240" s="15"/>
      <c r="D240" s="16"/>
      <c r="E240" s="15"/>
      <c r="F240" s="15"/>
      <c r="G240" s="17"/>
    </row>
    <row r="241" spans="1:7" ht="12" customHeight="1">
      <c r="A241" s="5">
        <v>234</v>
      </c>
      <c r="B241" s="11" t="str">
        <f t="shared" si="6"/>
        <v/>
      </c>
      <c r="C241" s="15"/>
      <c r="D241" s="16"/>
      <c r="E241" s="15"/>
      <c r="F241" s="15"/>
      <c r="G241" s="17"/>
    </row>
    <row r="242" spans="1:7" ht="12" customHeight="1">
      <c r="A242" s="5">
        <v>235</v>
      </c>
      <c r="B242" s="11" t="str">
        <f t="shared" si="6"/>
        <v/>
      </c>
      <c r="C242" s="15"/>
      <c r="D242" s="16"/>
      <c r="E242" s="15"/>
      <c r="F242" s="15"/>
      <c r="G242" s="17"/>
    </row>
    <row r="243" spans="1:7" ht="12" customHeight="1">
      <c r="A243" s="5">
        <v>236</v>
      </c>
      <c r="B243" s="11" t="str">
        <f t="shared" si="6"/>
        <v/>
      </c>
      <c r="C243" s="15"/>
      <c r="D243" s="16"/>
      <c r="E243" s="15"/>
      <c r="F243" s="15"/>
      <c r="G243" s="17"/>
    </row>
    <row r="244" spans="1:7" ht="12" customHeight="1">
      <c r="A244" s="5">
        <v>237</v>
      </c>
      <c r="B244" s="11" t="str">
        <f t="shared" si="6"/>
        <v/>
      </c>
      <c r="C244" s="15"/>
      <c r="D244" s="16"/>
      <c r="E244" s="15"/>
      <c r="F244" s="15"/>
      <c r="G244" s="17"/>
    </row>
    <row r="245" spans="1:7" ht="12" customHeight="1">
      <c r="A245" s="5">
        <v>238</v>
      </c>
      <c r="B245" s="11" t="str">
        <f t="shared" si="6"/>
        <v/>
      </c>
      <c r="C245" s="15"/>
      <c r="D245" s="16"/>
      <c r="E245" s="15"/>
      <c r="F245" s="15"/>
      <c r="G245" s="17"/>
    </row>
    <row r="246" spans="1:7" ht="12" customHeight="1">
      <c r="A246" s="5">
        <v>239</v>
      </c>
      <c r="B246" s="11" t="str">
        <f t="shared" si="6"/>
        <v/>
      </c>
      <c r="C246" s="15"/>
      <c r="D246" s="16"/>
      <c r="E246" s="15"/>
      <c r="F246" s="15"/>
      <c r="G246" s="17"/>
    </row>
    <row r="247" spans="1:7" ht="12" customHeight="1">
      <c r="A247" s="5">
        <v>240</v>
      </c>
      <c r="B247" s="11" t="str">
        <f t="shared" si="6"/>
        <v/>
      </c>
      <c r="C247" s="15"/>
      <c r="D247" s="16"/>
      <c r="E247" s="15"/>
      <c r="F247" s="15"/>
      <c r="G247" s="17"/>
    </row>
    <row r="248" spans="1:7" ht="12" customHeight="1">
      <c r="A248" s="5">
        <v>241</v>
      </c>
      <c r="B248" s="11" t="str">
        <f t="shared" si="6"/>
        <v/>
      </c>
      <c r="C248" s="15"/>
      <c r="D248" s="16"/>
      <c r="E248" s="15"/>
      <c r="F248" s="15"/>
      <c r="G248" s="17"/>
    </row>
    <row r="249" spans="1:7" ht="12" customHeight="1">
      <c r="A249" s="5">
        <v>242</v>
      </c>
      <c r="B249" s="11" t="str">
        <f t="shared" si="6"/>
        <v/>
      </c>
      <c r="C249" s="15"/>
      <c r="D249" s="16"/>
      <c r="E249" s="15"/>
      <c r="F249" s="15"/>
      <c r="G249" s="17"/>
    </row>
    <row r="250" spans="1:7" ht="12" customHeight="1">
      <c r="A250" s="5">
        <v>243</v>
      </c>
      <c r="B250" s="11" t="str">
        <f t="shared" si="6"/>
        <v/>
      </c>
      <c r="C250" s="15"/>
      <c r="D250" s="16"/>
      <c r="E250" s="15"/>
      <c r="F250" s="15"/>
      <c r="G250" s="17"/>
    </row>
    <row r="251" spans="1:7" ht="12" customHeight="1">
      <c r="A251" s="5">
        <v>244</v>
      </c>
      <c r="B251" s="11" t="str">
        <f t="shared" si="6"/>
        <v/>
      </c>
      <c r="C251" s="15"/>
      <c r="D251" s="16"/>
      <c r="E251" s="15"/>
      <c r="F251" s="15"/>
      <c r="G251" s="17"/>
    </row>
    <row r="252" spans="1:7" ht="12" customHeight="1">
      <c r="A252" s="5">
        <v>245</v>
      </c>
      <c r="B252" s="11" t="str">
        <f t="shared" si="6"/>
        <v/>
      </c>
      <c r="C252" s="15"/>
      <c r="D252" s="16"/>
      <c r="E252" s="15"/>
      <c r="F252" s="15"/>
      <c r="G252" s="17"/>
    </row>
    <row r="253" spans="1:7" ht="12" customHeight="1">
      <c r="A253" s="5">
        <v>246</v>
      </c>
      <c r="B253" s="11" t="str">
        <f t="shared" si="6"/>
        <v/>
      </c>
      <c r="C253" s="15"/>
      <c r="D253" s="16"/>
      <c r="E253" s="15"/>
      <c r="F253" s="15"/>
      <c r="G253" s="17"/>
    </row>
    <row r="254" spans="1:7" ht="12" customHeight="1">
      <c r="A254" s="5">
        <v>247</v>
      </c>
      <c r="B254" s="11" t="str">
        <f t="shared" si="6"/>
        <v/>
      </c>
      <c r="C254" s="15"/>
      <c r="D254" s="16"/>
      <c r="E254" s="15"/>
      <c r="F254" s="15"/>
      <c r="G254" s="17"/>
    </row>
    <row r="255" spans="1:7" ht="12" customHeight="1">
      <c r="A255" s="5">
        <v>248</v>
      </c>
      <c r="B255" s="11" t="str">
        <f t="shared" si="6"/>
        <v/>
      </c>
      <c r="C255" s="15"/>
      <c r="D255" s="16"/>
      <c r="E255" s="15"/>
      <c r="F255" s="15"/>
      <c r="G255" s="17"/>
    </row>
    <row r="256" spans="1:7" ht="12" customHeight="1">
      <c r="A256" s="5">
        <v>249</v>
      </c>
      <c r="B256" s="11" t="str">
        <f t="shared" si="6"/>
        <v/>
      </c>
      <c r="C256" s="15"/>
      <c r="D256" s="16"/>
      <c r="E256" s="15"/>
      <c r="F256" s="15"/>
      <c r="G256" s="17"/>
    </row>
    <row r="257" spans="1:7" ht="12" customHeight="1">
      <c r="A257" s="5">
        <v>250</v>
      </c>
      <c r="B257" s="11" t="str">
        <f t="shared" si="6"/>
        <v/>
      </c>
      <c r="C257" s="15"/>
      <c r="D257" s="16"/>
      <c r="E257" s="15"/>
      <c r="F257" s="15"/>
      <c r="G257" s="17"/>
    </row>
    <row r="258" spans="1:7" ht="12" customHeight="1">
      <c r="A258" s="5">
        <v>251</v>
      </c>
      <c r="B258" s="11" t="str">
        <f t="shared" si="6"/>
        <v/>
      </c>
      <c r="C258" s="15"/>
      <c r="D258" s="16"/>
      <c r="E258" s="15"/>
      <c r="F258" s="15"/>
      <c r="G258" s="17"/>
    </row>
    <row r="259" spans="1:7" ht="12" customHeight="1">
      <c r="A259" s="5">
        <v>252</v>
      </c>
      <c r="B259" s="11" t="str">
        <f t="shared" si="6"/>
        <v/>
      </c>
      <c r="C259" s="15"/>
      <c r="D259" s="16"/>
      <c r="E259" s="15"/>
      <c r="F259" s="15"/>
      <c r="G259" s="17"/>
    </row>
    <row r="260" spans="1:7" ht="12" customHeight="1">
      <c r="A260" s="5">
        <v>253</v>
      </c>
      <c r="B260" s="11" t="str">
        <f t="shared" si="6"/>
        <v/>
      </c>
      <c r="C260" s="15"/>
      <c r="D260" s="16"/>
      <c r="E260" s="15"/>
      <c r="F260" s="15"/>
      <c r="G260" s="17"/>
    </row>
    <row r="261" spans="1:7" ht="12" customHeight="1">
      <c r="A261" s="5">
        <v>254</v>
      </c>
      <c r="B261" s="11" t="str">
        <f t="shared" si="6"/>
        <v/>
      </c>
      <c r="C261" s="15"/>
      <c r="D261" s="16"/>
      <c r="E261" s="15"/>
      <c r="F261" s="15"/>
      <c r="G261" s="17"/>
    </row>
    <row r="262" spans="1:7" ht="12" customHeight="1">
      <c r="A262" s="5">
        <v>255</v>
      </c>
      <c r="B262" s="11" t="str">
        <f t="shared" si="6"/>
        <v/>
      </c>
      <c r="C262" s="15"/>
      <c r="D262" s="16"/>
      <c r="E262" s="15"/>
      <c r="F262" s="15"/>
      <c r="G262" s="17"/>
    </row>
    <row r="263" spans="1:7" ht="12" customHeight="1">
      <c r="A263" s="5">
        <v>256</v>
      </c>
      <c r="B263" s="11" t="str">
        <f t="shared" si="6"/>
        <v/>
      </c>
      <c r="C263" s="15"/>
      <c r="D263" s="16"/>
      <c r="E263" s="15"/>
      <c r="F263" s="15"/>
      <c r="G263" s="17"/>
    </row>
    <row r="264" spans="1:7" ht="12" customHeight="1">
      <c r="A264" s="5">
        <v>257</v>
      </c>
      <c r="B264" s="11" t="str">
        <f t="shared" si="6"/>
        <v/>
      </c>
      <c r="C264" s="15"/>
      <c r="D264" s="16"/>
      <c r="E264" s="15"/>
      <c r="F264" s="15"/>
      <c r="G264" s="17"/>
    </row>
    <row r="265" spans="1:7" ht="12" customHeight="1">
      <c r="A265" s="5">
        <v>258</v>
      </c>
      <c r="B265" s="11" t="str">
        <f t="shared" ref="B265:B306" si="7">IF(D265&gt;=$G$6,0,IF(D265="","",(DATEDIF(D265,$G$6,"Y"))))</f>
        <v/>
      </c>
      <c r="C265" s="15"/>
      <c r="D265" s="16"/>
      <c r="E265" s="15"/>
      <c r="F265" s="15"/>
      <c r="G265" s="17"/>
    </row>
    <row r="266" spans="1:7" ht="12" customHeight="1">
      <c r="A266" s="5">
        <v>259</v>
      </c>
      <c r="B266" s="11" t="str">
        <f t="shared" si="7"/>
        <v/>
      </c>
      <c r="C266" s="15"/>
      <c r="D266" s="16"/>
      <c r="E266" s="15"/>
      <c r="F266" s="15"/>
      <c r="G266" s="17"/>
    </row>
    <row r="267" spans="1:7" ht="12" customHeight="1">
      <c r="A267" s="5">
        <v>260</v>
      </c>
      <c r="B267" s="11" t="str">
        <f t="shared" si="7"/>
        <v/>
      </c>
      <c r="C267" s="15"/>
      <c r="D267" s="16"/>
      <c r="E267" s="15"/>
      <c r="F267" s="15"/>
      <c r="G267" s="17"/>
    </row>
    <row r="268" spans="1:7" ht="12" customHeight="1">
      <c r="A268" s="5">
        <v>261</v>
      </c>
      <c r="B268" s="11" t="str">
        <f t="shared" si="7"/>
        <v/>
      </c>
      <c r="C268" s="15"/>
      <c r="D268" s="16"/>
      <c r="E268" s="15"/>
      <c r="F268" s="15"/>
      <c r="G268" s="17"/>
    </row>
    <row r="269" spans="1:7" ht="12" customHeight="1">
      <c r="A269" s="5">
        <v>262</v>
      </c>
      <c r="B269" s="11" t="str">
        <f t="shared" si="7"/>
        <v/>
      </c>
      <c r="C269" s="15"/>
      <c r="D269" s="16"/>
      <c r="E269" s="15"/>
      <c r="F269" s="15"/>
      <c r="G269" s="17"/>
    </row>
    <row r="270" spans="1:7" ht="12" customHeight="1">
      <c r="A270" s="5">
        <v>263</v>
      </c>
      <c r="B270" s="11" t="str">
        <f t="shared" si="7"/>
        <v/>
      </c>
      <c r="C270" s="15"/>
      <c r="D270" s="16"/>
      <c r="E270" s="15"/>
      <c r="F270" s="15"/>
      <c r="G270" s="17"/>
    </row>
    <row r="271" spans="1:7" ht="12" customHeight="1">
      <c r="A271" s="5">
        <v>264</v>
      </c>
      <c r="B271" s="11" t="str">
        <f t="shared" si="7"/>
        <v/>
      </c>
      <c r="C271" s="15"/>
      <c r="D271" s="16"/>
      <c r="E271" s="15"/>
      <c r="F271" s="15"/>
      <c r="G271" s="17"/>
    </row>
    <row r="272" spans="1:7" ht="12" customHeight="1">
      <c r="A272" s="5">
        <v>265</v>
      </c>
      <c r="B272" s="11" t="str">
        <f t="shared" si="7"/>
        <v/>
      </c>
      <c r="C272" s="15"/>
      <c r="D272" s="16"/>
      <c r="E272" s="15"/>
      <c r="F272" s="15"/>
      <c r="G272" s="17"/>
    </row>
    <row r="273" spans="1:7" ht="12" customHeight="1">
      <c r="A273" s="5">
        <v>266</v>
      </c>
      <c r="B273" s="11" t="str">
        <f t="shared" si="7"/>
        <v/>
      </c>
      <c r="C273" s="15"/>
      <c r="D273" s="16"/>
      <c r="E273" s="15"/>
      <c r="F273" s="15"/>
      <c r="G273" s="17"/>
    </row>
    <row r="274" spans="1:7" ht="12" customHeight="1">
      <c r="A274" s="5">
        <v>267</v>
      </c>
      <c r="B274" s="11" t="str">
        <f t="shared" si="7"/>
        <v/>
      </c>
      <c r="C274" s="15"/>
      <c r="D274" s="16"/>
      <c r="E274" s="15"/>
      <c r="F274" s="15"/>
      <c r="G274" s="17"/>
    </row>
    <row r="275" spans="1:7" ht="12" customHeight="1">
      <c r="A275" s="5">
        <v>268</v>
      </c>
      <c r="B275" s="11" t="str">
        <f t="shared" si="7"/>
        <v/>
      </c>
      <c r="C275" s="15"/>
      <c r="D275" s="16"/>
      <c r="E275" s="15"/>
      <c r="F275" s="15"/>
      <c r="G275" s="17"/>
    </row>
    <row r="276" spans="1:7" ht="12" customHeight="1">
      <c r="A276" s="5">
        <v>269</v>
      </c>
      <c r="B276" s="11" t="str">
        <f t="shared" si="7"/>
        <v/>
      </c>
      <c r="C276" s="15"/>
      <c r="D276" s="16"/>
      <c r="E276" s="15"/>
      <c r="F276" s="15"/>
      <c r="G276" s="17"/>
    </row>
    <row r="277" spans="1:7" ht="12" customHeight="1">
      <c r="A277" s="5">
        <v>270</v>
      </c>
      <c r="B277" s="11" t="str">
        <f t="shared" si="7"/>
        <v/>
      </c>
      <c r="C277" s="15"/>
      <c r="D277" s="16"/>
      <c r="E277" s="15"/>
      <c r="F277" s="15"/>
      <c r="G277" s="17"/>
    </row>
    <row r="278" spans="1:7" ht="12" customHeight="1">
      <c r="A278" s="5">
        <v>271</v>
      </c>
      <c r="B278" s="11" t="str">
        <f t="shared" si="7"/>
        <v/>
      </c>
      <c r="C278" s="15"/>
      <c r="D278" s="16"/>
      <c r="E278" s="15"/>
      <c r="F278" s="15"/>
      <c r="G278" s="17"/>
    </row>
    <row r="279" spans="1:7" ht="12" customHeight="1">
      <c r="A279" s="5">
        <v>272</v>
      </c>
      <c r="B279" s="11" t="str">
        <f t="shared" si="7"/>
        <v/>
      </c>
      <c r="C279" s="15"/>
      <c r="D279" s="16"/>
      <c r="E279" s="15"/>
      <c r="F279" s="15"/>
      <c r="G279" s="17"/>
    </row>
    <row r="280" spans="1:7" ht="12" customHeight="1">
      <c r="A280" s="5">
        <v>273</v>
      </c>
      <c r="B280" s="11" t="str">
        <f t="shared" si="7"/>
        <v/>
      </c>
      <c r="C280" s="15"/>
      <c r="D280" s="16"/>
      <c r="E280" s="15"/>
      <c r="F280" s="15"/>
      <c r="G280" s="17"/>
    </row>
    <row r="281" spans="1:7" ht="12" customHeight="1">
      <c r="A281" s="5">
        <v>274</v>
      </c>
      <c r="B281" s="11" t="str">
        <f t="shared" si="7"/>
        <v/>
      </c>
      <c r="C281" s="15"/>
      <c r="D281" s="16"/>
      <c r="E281" s="15"/>
      <c r="F281" s="15"/>
      <c r="G281" s="17"/>
    </row>
    <row r="282" spans="1:7" ht="12" customHeight="1">
      <c r="A282" s="5">
        <v>275</v>
      </c>
      <c r="B282" s="11" t="str">
        <f t="shared" si="7"/>
        <v/>
      </c>
      <c r="C282" s="15"/>
      <c r="D282" s="16"/>
      <c r="E282" s="15"/>
      <c r="F282" s="15"/>
      <c r="G282" s="17"/>
    </row>
    <row r="283" spans="1:7" ht="12" customHeight="1">
      <c r="A283" s="5">
        <v>276</v>
      </c>
      <c r="B283" s="11" t="str">
        <f t="shared" si="7"/>
        <v/>
      </c>
      <c r="C283" s="15"/>
      <c r="D283" s="16"/>
      <c r="E283" s="15"/>
      <c r="F283" s="15"/>
      <c r="G283" s="17"/>
    </row>
    <row r="284" spans="1:7" ht="12" customHeight="1">
      <c r="A284" s="5">
        <v>277</v>
      </c>
      <c r="B284" s="11" t="str">
        <f t="shared" si="7"/>
        <v/>
      </c>
      <c r="C284" s="15"/>
      <c r="D284" s="16"/>
      <c r="E284" s="15"/>
      <c r="F284" s="15"/>
      <c r="G284" s="17"/>
    </row>
    <row r="285" spans="1:7" ht="12" customHeight="1">
      <c r="A285" s="5">
        <v>278</v>
      </c>
      <c r="B285" s="11" t="str">
        <f t="shared" si="7"/>
        <v/>
      </c>
      <c r="C285" s="15"/>
      <c r="D285" s="16"/>
      <c r="E285" s="15"/>
      <c r="F285" s="15"/>
      <c r="G285" s="17"/>
    </row>
    <row r="286" spans="1:7" ht="12" customHeight="1">
      <c r="A286" s="5">
        <v>279</v>
      </c>
      <c r="B286" s="11" t="str">
        <f t="shared" si="7"/>
        <v/>
      </c>
      <c r="C286" s="15"/>
      <c r="D286" s="16"/>
      <c r="E286" s="15"/>
      <c r="F286" s="15"/>
      <c r="G286" s="17"/>
    </row>
    <row r="287" spans="1:7" ht="12" customHeight="1">
      <c r="A287" s="5">
        <v>280</v>
      </c>
      <c r="B287" s="11" t="str">
        <f t="shared" si="7"/>
        <v/>
      </c>
      <c r="C287" s="15"/>
      <c r="D287" s="16"/>
      <c r="E287" s="15"/>
      <c r="F287" s="15"/>
      <c r="G287" s="17"/>
    </row>
    <row r="288" spans="1:7" ht="12" customHeight="1">
      <c r="A288" s="5">
        <v>281</v>
      </c>
      <c r="B288" s="11" t="str">
        <f t="shared" si="7"/>
        <v/>
      </c>
      <c r="C288" s="15"/>
      <c r="D288" s="16"/>
      <c r="E288" s="15"/>
      <c r="F288" s="15"/>
      <c r="G288" s="17"/>
    </row>
    <row r="289" spans="1:7" ht="12" customHeight="1">
      <c r="A289" s="5">
        <v>282</v>
      </c>
      <c r="B289" s="11" t="str">
        <f t="shared" si="7"/>
        <v/>
      </c>
      <c r="C289" s="15"/>
      <c r="D289" s="16"/>
      <c r="E289" s="15"/>
      <c r="F289" s="15"/>
      <c r="G289" s="17"/>
    </row>
    <row r="290" spans="1:7" ht="12" customHeight="1">
      <c r="A290" s="5">
        <v>283</v>
      </c>
      <c r="B290" s="11" t="str">
        <f t="shared" si="7"/>
        <v/>
      </c>
      <c r="C290" s="15"/>
      <c r="D290" s="16"/>
      <c r="E290" s="15"/>
      <c r="F290" s="15"/>
      <c r="G290" s="17"/>
    </row>
    <row r="291" spans="1:7" ht="12" customHeight="1">
      <c r="A291" s="5">
        <v>284</v>
      </c>
      <c r="B291" s="11" t="str">
        <f t="shared" si="7"/>
        <v/>
      </c>
      <c r="C291" s="15"/>
      <c r="D291" s="16"/>
      <c r="E291" s="15"/>
      <c r="F291" s="15"/>
      <c r="G291" s="17"/>
    </row>
    <row r="292" spans="1:7" ht="12" customHeight="1">
      <c r="A292" s="5">
        <v>285</v>
      </c>
      <c r="B292" s="11" t="str">
        <f t="shared" si="7"/>
        <v/>
      </c>
      <c r="C292" s="15"/>
      <c r="D292" s="16"/>
      <c r="E292" s="15"/>
      <c r="F292" s="15"/>
      <c r="G292" s="17"/>
    </row>
    <row r="293" spans="1:7" ht="12" customHeight="1">
      <c r="A293" s="5">
        <v>286</v>
      </c>
      <c r="B293" s="11" t="str">
        <f t="shared" si="7"/>
        <v/>
      </c>
      <c r="C293" s="15"/>
      <c r="D293" s="16"/>
      <c r="E293" s="15"/>
      <c r="F293" s="15"/>
      <c r="G293" s="17"/>
    </row>
    <row r="294" spans="1:7" ht="12" customHeight="1">
      <c r="A294" s="5">
        <v>287</v>
      </c>
      <c r="B294" s="11" t="str">
        <f t="shared" si="7"/>
        <v/>
      </c>
      <c r="C294" s="15"/>
      <c r="D294" s="16"/>
      <c r="E294" s="15"/>
      <c r="F294" s="15"/>
      <c r="G294" s="17"/>
    </row>
    <row r="295" spans="1:7" ht="12" customHeight="1">
      <c r="A295" s="5">
        <v>288</v>
      </c>
      <c r="B295" s="11" t="str">
        <f t="shared" si="7"/>
        <v/>
      </c>
      <c r="C295" s="15"/>
      <c r="D295" s="16"/>
      <c r="E295" s="15"/>
      <c r="F295" s="15"/>
      <c r="G295" s="17"/>
    </row>
    <row r="296" spans="1:7" ht="12" customHeight="1">
      <c r="A296" s="5">
        <v>289</v>
      </c>
      <c r="B296" s="11" t="str">
        <f t="shared" si="7"/>
        <v/>
      </c>
      <c r="C296" s="15"/>
      <c r="D296" s="16"/>
      <c r="E296" s="15"/>
      <c r="F296" s="15"/>
      <c r="G296" s="17"/>
    </row>
    <row r="297" spans="1:7" ht="12" customHeight="1">
      <c r="A297" s="5">
        <v>290</v>
      </c>
      <c r="B297" s="11" t="str">
        <f t="shared" si="7"/>
        <v/>
      </c>
      <c r="C297" s="15"/>
      <c r="D297" s="16"/>
      <c r="E297" s="15"/>
      <c r="F297" s="15"/>
      <c r="G297" s="17"/>
    </row>
    <row r="298" spans="1:7" ht="12" customHeight="1">
      <c r="A298" s="5">
        <v>291</v>
      </c>
      <c r="B298" s="11" t="str">
        <f t="shared" si="7"/>
        <v/>
      </c>
      <c r="C298" s="15"/>
      <c r="D298" s="16"/>
      <c r="E298" s="15"/>
      <c r="F298" s="15"/>
      <c r="G298" s="17"/>
    </row>
    <row r="299" spans="1:7" ht="12" customHeight="1">
      <c r="A299" s="5">
        <v>292</v>
      </c>
      <c r="B299" s="11" t="str">
        <f t="shared" si="7"/>
        <v/>
      </c>
      <c r="C299" s="15"/>
      <c r="D299" s="16"/>
      <c r="E299" s="15"/>
      <c r="F299" s="15"/>
      <c r="G299" s="17"/>
    </row>
    <row r="300" spans="1:7" ht="12" customHeight="1">
      <c r="A300" s="5">
        <v>293</v>
      </c>
      <c r="B300" s="11" t="str">
        <f t="shared" si="7"/>
        <v/>
      </c>
      <c r="C300" s="15"/>
      <c r="D300" s="16"/>
      <c r="E300" s="15"/>
      <c r="F300" s="15"/>
      <c r="G300" s="17"/>
    </row>
    <row r="301" spans="1:7" ht="12" customHeight="1">
      <c r="A301" s="5">
        <v>294</v>
      </c>
      <c r="B301" s="11" t="str">
        <f t="shared" si="7"/>
        <v/>
      </c>
      <c r="C301" s="15"/>
      <c r="D301" s="16"/>
      <c r="E301" s="15"/>
      <c r="F301" s="15"/>
      <c r="G301" s="17"/>
    </row>
    <row r="302" spans="1:7" ht="12" customHeight="1">
      <c r="A302" s="5">
        <v>295</v>
      </c>
      <c r="B302" s="11" t="str">
        <f t="shared" si="7"/>
        <v/>
      </c>
      <c r="C302" s="15"/>
      <c r="D302" s="16"/>
      <c r="E302" s="15"/>
      <c r="F302" s="15"/>
      <c r="G302" s="17"/>
    </row>
    <row r="303" spans="1:7" ht="12" customHeight="1">
      <c r="A303" s="5">
        <v>296</v>
      </c>
      <c r="B303" s="11" t="str">
        <f t="shared" si="7"/>
        <v/>
      </c>
      <c r="C303" s="15"/>
      <c r="D303" s="16"/>
      <c r="E303" s="15"/>
      <c r="F303" s="15"/>
      <c r="G303" s="17"/>
    </row>
    <row r="304" spans="1:7" ht="12" customHeight="1">
      <c r="A304" s="5">
        <v>297</v>
      </c>
      <c r="B304" s="11" t="str">
        <f t="shared" si="7"/>
        <v/>
      </c>
      <c r="C304" s="15"/>
      <c r="D304" s="16"/>
      <c r="E304" s="15"/>
      <c r="F304" s="15"/>
      <c r="G304" s="17"/>
    </row>
    <row r="305" spans="1:7" ht="12" customHeight="1">
      <c r="A305" s="5">
        <v>298</v>
      </c>
      <c r="B305" s="11" t="str">
        <f t="shared" si="7"/>
        <v/>
      </c>
      <c r="C305" s="15"/>
      <c r="D305" s="16"/>
      <c r="E305" s="15"/>
      <c r="F305" s="15"/>
      <c r="G305" s="17"/>
    </row>
    <row r="306" spans="1:7" ht="12" customHeight="1">
      <c r="A306" s="5">
        <v>299</v>
      </c>
      <c r="B306" s="11" t="str">
        <f t="shared" si="7"/>
        <v/>
      </c>
      <c r="C306" s="15"/>
      <c r="D306" s="16"/>
      <c r="E306" s="15"/>
      <c r="F306" s="15"/>
      <c r="G306" s="17"/>
    </row>
    <row r="307" spans="1:7" ht="12" customHeight="1">
      <c r="A307" s="5">
        <v>300</v>
      </c>
      <c r="B307" s="11" t="str">
        <f>IF(D307&gt;=$G$6,0,IF(D307="","",(DATEDIF(D307,$G$6,"Y"))))</f>
        <v/>
      </c>
      <c r="C307" s="15"/>
      <c r="D307" s="16"/>
      <c r="E307" s="15"/>
      <c r="F307" s="15"/>
      <c r="G307" s="17"/>
    </row>
  </sheetData>
  <mergeCells count="5">
    <mergeCell ref="Q10:Q12"/>
    <mergeCell ref="F4:G4"/>
    <mergeCell ref="A1:F1"/>
    <mergeCell ref="F3:G3"/>
    <mergeCell ref="A4:C4"/>
  </mergeCells>
  <phoneticPr fontId="1"/>
  <conditionalFormatting sqref="F9:F307">
    <cfRule type="expression" dxfId="12" priority="8">
      <formula>$E9="１号認定"</formula>
    </cfRule>
  </conditionalFormatting>
  <conditionalFormatting sqref="B9:G307">
    <cfRule type="expression" dxfId="11" priority="5">
      <formula>$E9="３号認定"</formula>
    </cfRule>
    <cfRule type="expression" dxfId="10" priority="6">
      <formula>$E9="２号認定"</formula>
    </cfRule>
  </conditionalFormatting>
  <conditionalFormatting sqref="B9:E307">
    <cfRule type="expression" dxfId="9" priority="7">
      <formula>$E9="１号認定"</formula>
    </cfRule>
  </conditionalFormatting>
  <conditionalFormatting sqref="F8">
    <cfRule type="expression" dxfId="8" priority="4">
      <formula>$E8="１号認定"</formula>
    </cfRule>
  </conditionalFormatting>
  <conditionalFormatting sqref="B8:G8">
    <cfRule type="expression" dxfId="7" priority="1">
      <formula>$E8="３号認定"</formula>
    </cfRule>
    <cfRule type="expression" dxfId="6" priority="2">
      <formula>$E8="２号認定"</formula>
    </cfRule>
  </conditionalFormatting>
  <conditionalFormatting sqref="B8:E8">
    <cfRule type="expression" dxfId="5" priority="3">
      <formula>$E8="１号認定"</formula>
    </cfRule>
  </conditionalFormatting>
  <dataValidations count="2">
    <dataValidation type="list" allowBlank="1" showInputMessage="1" showErrorMessage="1" sqref="F8:F307">
      <formula1>"標準時間,短時間"</formula1>
    </dataValidation>
    <dataValidation type="list" allowBlank="1" showInputMessage="1" showErrorMessage="1" sqref="E8:E307">
      <formula1>"１号認定,２号認定,３号認定"</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86"/>
  <sheetViews>
    <sheetView view="pageBreakPreview" zoomScale="98" zoomScaleNormal="100" zoomScaleSheetLayoutView="98" workbookViewId="0">
      <selection activeCell="K34" sqref="K34"/>
    </sheetView>
  </sheetViews>
  <sheetFormatPr defaultRowHeight="18.75"/>
  <cols>
    <col min="1" max="1" width="2.5" customWidth="1"/>
    <col min="2" max="2" width="15.625" customWidth="1"/>
    <col min="3" max="3" width="7" customWidth="1"/>
    <col min="4" max="4" width="15.625" customWidth="1"/>
    <col min="5" max="5" width="13" customWidth="1"/>
    <col min="6" max="7" width="3" customWidth="1"/>
    <col min="8" max="8" width="5.5" customWidth="1"/>
    <col min="9" max="9" width="4.125" customWidth="1"/>
    <col min="10" max="10" width="8.625" customWidth="1"/>
    <col min="11" max="11" width="5.125" customWidth="1"/>
    <col min="12" max="12" width="7.5" customWidth="1"/>
    <col min="13" max="13" width="9.75" bestFit="1" customWidth="1"/>
    <col min="14" max="14" width="10.25" bestFit="1" customWidth="1"/>
    <col min="15" max="15" width="9.75" bestFit="1" customWidth="1"/>
    <col min="16" max="16" width="7.5" style="228" customWidth="1"/>
    <col min="17" max="17" width="1.875" style="228" bestFit="1" customWidth="1"/>
    <col min="18" max="18" width="1.875" style="228" customWidth="1"/>
    <col min="19" max="19" width="9" style="183"/>
    <col min="20" max="20" width="0" hidden="1" customWidth="1"/>
    <col min="21" max="24" width="3" hidden="1" customWidth="1"/>
    <col min="26" max="26" width="9" style="4"/>
    <col min="27" max="27" width="10" customWidth="1"/>
    <col min="28" max="30" width="5.875" customWidth="1"/>
  </cols>
  <sheetData>
    <row r="1" spans="1:27" ht="24">
      <c r="A1" s="334" t="s">
        <v>162</v>
      </c>
      <c r="B1" s="334"/>
      <c r="C1" s="334"/>
      <c r="D1" s="334"/>
      <c r="E1" s="334"/>
      <c r="F1" s="334"/>
      <c r="G1" s="334"/>
      <c r="H1" s="334"/>
      <c r="I1" s="334"/>
      <c r="J1" s="334"/>
      <c r="K1" s="334"/>
      <c r="L1" s="334"/>
      <c r="M1" s="323"/>
      <c r="N1" s="323"/>
      <c r="O1" s="323"/>
      <c r="P1" s="229"/>
      <c r="Q1" s="229"/>
      <c r="R1" s="229"/>
      <c r="S1" s="184"/>
      <c r="T1" s="50"/>
      <c r="U1" s="50"/>
      <c r="V1" s="88"/>
      <c r="W1" s="88"/>
      <c r="X1" s="88"/>
      <c r="Y1" s="50"/>
    </row>
    <row r="2" spans="1:27">
      <c r="M2" s="148"/>
      <c r="N2" s="148"/>
      <c r="O2" s="148"/>
      <c r="P2" s="251"/>
      <c r="Q2" s="4" t="s">
        <v>338</v>
      </c>
      <c r="R2" s="251"/>
    </row>
    <row r="3" spans="1:27" ht="19.5" thickBot="1">
      <c r="A3" s="3" t="s">
        <v>38</v>
      </c>
      <c r="N3" t="s">
        <v>237</v>
      </c>
      <c r="P3" s="148">
        <f>改修履歴!A1</f>
        <v>1</v>
      </c>
      <c r="Q3" s="6" t="s">
        <v>339</v>
      </c>
      <c r="R3" s="148"/>
      <c r="Z3" s="6"/>
    </row>
    <row r="4" spans="1:27" ht="19.5" thickBot="1">
      <c r="A4" s="336" t="str">
        <f>①基本情報!A7</f>
        <v>〇〇認定こども園</v>
      </c>
      <c r="B4" s="337"/>
      <c r="C4" s="337"/>
      <c r="D4" s="338"/>
      <c r="J4" s="165"/>
      <c r="K4" s="165"/>
      <c r="L4" s="165"/>
      <c r="M4" s="165"/>
      <c r="N4" s="332">
        <f>①基本情報!A4</f>
        <v>45748</v>
      </c>
      <c r="O4" s="352"/>
      <c r="P4" s="165"/>
      <c r="Q4" s="165"/>
      <c r="R4" s="165"/>
      <c r="S4" s="87"/>
      <c r="T4" s="87"/>
      <c r="U4" s="87"/>
      <c r="V4" s="87"/>
      <c r="W4" s="87"/>
      <c r="X4" s="87"/>
      <c r="Y4" s="87"/>
    </row>
    <row r="5" spans="1:27" ht="6" customHeight="1">
      <c r="A5" s="69"/>
      <c r="B5" s="69"/>
      <c r="C5" s="69"/>
      <c r="D5" s="69"/>
      <c r="E5" s="164"/>
      <c r="F5" s="164"/>
      <c r="G5" s="164"/>
      <c r="H5" s="164"/>
      <c r="I5" s="165"/>
      <c r="J5" s="165"/>
      <c r="K5" s="165"/>
      <c r="L5" s="165"/>
      <c r="M5" s="165"/>
      <c r="N5" s="165"/>
      <c r="O5" s="165"/>
      <c r="P5" s="165"/>
      <c r="Q5" s="165"/>
      <c r="R5" s="165"/>
      <c r="S5" s="87"/>
      <c r="T5" s="87"/>
      <c r="U5" s="87"/>
      <c r="V5" s="87"/>
      <c r="W5" s="87"/>
      <c r="X5" s="87"/>
      <c r="Y5" s="87"/>
    </row>
    <row r="6" spans="1:27" ht="39.950000000000003" customHeight="1">
      <c r="A6" s="69"/>
      <c r="B6" s="176" t="s">
        <v>253</v>
      </c>
      <c r="C6" s="177">
        <f>$AB$41+$AB$42</f>
        <v>4</v>
      </c>
      <c r="D6" s="340" t="str">
        <f>"(内訳：常勤"&amp;$AB$41&amp;"人、非常勤"&amp;$AB$42&amp;"人）"</f>
        <v>(内訳：常勤4人、非常勤0人）</v>
      </c>
      <c r="E6" s="341"/>
      <c r="F6" s="344" t="s">
        <v>255</v>
      </c>
      <c r="G6" s="345"/>
      <c r="H6" s="345"/>
      <c r="I6" s="345"/>
      <c r="J6" s="178">
        <f>$AE$42</f>
        <v>4</v>
      </c>
      <c r="K6" s="165"/>
      <c r="L6" s="165"/>
      <c r="M6" s="165"/>
      <c r="N6" s="165"/>
      <c r="O6" s="165"/>
      <c r="P6" s="165"/>
      <c r="Q6" s="165"/>
      <c r="R6" s="165"/>
      <c r="S6" s="87"/>
      <c r="T6" s="87"/>
      <c r="U6" s="87"/>
      <c r="V6" s="87"/>
      <c r="W6" s="87"/>
      <c r="X6" s="87"/>
      <c r="Y6" s="87"/>
    </row>
    <row r="7" spans="1:27" ht="39.950000000000003" customHeight="1">
      <c r="A7" s="69"/>
      <c r="B7" s="173" t="s">
        <v>254</v>
      </c>
      <c r="C7" s="174">
        <f>$AB$38+$AB$39</f>
        <v>2</v>
      </c>
      <c r="D7" s="342" t="str">
        <f>"(内訳：常勤"&amp;$AB$38&amp;"人、非常勤"&amp;$AB$39&amp;"人）"</f>
        <v>(内訳：常勤2人、非常勤0人）</v>
      </c>
      <c r="E7" s="343"/>
      <c r="F7" s="346" t="s">
        <v>256</v>
      </c>
      <c r="G7" s="347"/>
      <c r="H7" s="347"/>
      <c r="I7" s="347"/>
      <c r="J7" s="175">
        <f>$AE$39</f>
        <v>2</v>
      </c>
      <c r="K7" s="165"/>
      <c r="L7" s="165"/>
      <c r="M7" s="165"/>
      <c r="N7" s="165"/>
      <c r="O7" s="165"/>
      <c r="P7" s="165"/>
      <c r="Q7" s="165"/>
      <c r="R7" s="165"/>
      <c r="S7" s="87"/>
      <c r="T7" s="87"/>
      <c r="U7" s="87"/>
      <c r="V7" s="87"/>
      <c r="W7" s="87"/>
      <c r="X7" s="87"/>
      <c r="Y7" s="87"/>
    </row>
    <row r="8" spans="1:27" ht="7.5" customHeight="1" thickBot="1">
      <c r="A8" s="69"/>
      <c r="B8" s="169"/>
      <c r="C8" s="166"/>
      <c r="D8" s="167"/>
      <c r="E8" s="170"/>
      <c r="F8" s="171"/>
      <c r="G8" s="172"/>
      <c r="H8" s="172"/>
      <c r="I8" s="172"/>
      <c r="J8" s="168"/>
      <c r="K8" s="165"/>
      <c r="L8" s="165"/>
      <c r="M8" s="165"/>
      <c r="N8" s="165"/>
      <c r="O8" s="165"/>
      <c r="P8" s="165"/>
      <c r="Q8" s="165"/>
      <c r="R8" s="165"/>
      <c r="S8" s="87"/>
      <c r="T8" s="87"/>
      <c r="U8" s="87"/>
      <c r="V8" s="87"/>
      <c r="W8" s="87"/>
      <c r="X8" s="87"/>
      <c r="Y8" s="87"/>
    </row>
    <row r="9" spans="1:27" ht="12.75" customHeight="1" thickBot="1">
      <c r="B9" s="29"/>
      <c r="O9" s="245"/>
      <c r="Z9" s="194" t="s">
        <v>81</v>
      </c>
      <c r="AA9" s="195">
        <f>①基本情報!A12</f>
        <v>160</v>
      </c>
    </row>
    <row r="10" spans="1:27" ht="13.5" customHeight="1">
      <c r="A10" s="369" t="s">
        <v>11</v>
      </c>
      <c r="B10" s="355" t="s">
        <v>89</v>
      </c>
      <c r="C10" s="365" t="s">
        <v>93</v>
      </c>
      <c r="D10" s="353" t="s">
        <v>330</v>
      </c>
      <c r="E10" s="365" t="s">
        <v>94</v>
      </c>
      <c r="F10" s="365" t="s">
        <v>10</v>
      </c>
      <c r="G10" s="365"/>
      <c r="H10" s="365"/>
      <c r="I10" s="366" t="s">
        <v>13</v>
      </c>
      <c r="J10" s="339" t="s">
        <v>15</v>
      </c>
      <c r="K10" s="339" t="s">
        <v>248</v>
      </c>
      <c r="L10" s="368" t="s">
        <v>14</v>
      </c>
      <c r="M10" s="348" t="s">
        <v>294</v>
      </c>
      <c r="N10" s="349"/>
      <c r="O10" s="349"/>
      <c r="P10" s="229"/>
      <c r="Q10" s="229"/>
      <c r="R10" s="229"/>
      <c r="S10" s="189"/>
      <c r="T10" s="189"/>
      <c r="U10" s="189"/>
      <c r="V10" s="189"/>
      <c r="W10" s="189"/>
      <c r="X10" s="189"/>
      <c r="Y10" s="189"/>
    </row>
    <row r="11" spans="1:27" ht="24.75" thickBot="1">
      <c r="A11" s="339"/>
      <c r="B11" s="354"/>
      <c r="C11" s="365"/>
      <c r="D11" s="354"/>
      <c r="E11" s="365"/>
      <c r="F11" s="53" t="s">
        <v>87</v>
      </c>
      <c r="G11" s="53" t="s">
        <v>88</v>
      </c>
      <c r="H11" s="187" t="s">
        <v>293</v>
      </c>
      <c r="I11" s="367"/>
      <c r="J11" s="339"/>
      <c r="K11" s="339"/>
      <c r="L11" s="368"/>
      <c r="M11" s="244" t="s">
        <v>295</v>
      </c>
      <c r="N11" s="53" t="s">
        <v>296</v>
      </c>
      <c r="O11" s="53" t="s">
        <v>297</v>
      </c>
      <c r="P11" s="252"/>
      <c r="Q11" s="252"/>
      <c r="R11" s="252"/>
      <c r="S11" s="189"/>
      <c r="T11" s="189"/>
      <c r="U11" s="189"/>
      <c r="V11" s="189"/>
      <c r="W11" s="189"/>
      <c r="X11" s="189"/>
      <c r="Y11" s="189"/>
    </row>
    <row r="12" spans="1:27" ht="23.25" customHeight="1" thickBot="1">
      <c r="A12" s="359" t="s">
        <v>39</v>
      </c>
      <c r="B12" s="71" t="s">
        <v>100</v>
      </c>
      <c r="C12" s="64"/>
      <c r="D12" s="71" t="s">
        <v>12</v>
      </c>
      <c r="E12" s="54"/>
      <c r="F12" s="55"/>
      <c r="G12" s="55"/>
      <c r="H12" s="57"/>
      <c r="I12" s="58">
        <v>160</v>
      </c>
      <c r="J12" s="263" t="str">
        <f>IF(I12="","",IF(I12&lt;$AA$9,"非常勤","常勤"))</f>
        <v>常勤</v>
      </c>
      <c r="K12" s="56"/>
      <c r="L12" s="243"/>
      <c r="M12" s="246"/>
      <c r="N12" s="231"/>
      <c r="O12" s="254"/>
      <c r="P12" s="253" t="str">
        <f>IF(M12="あり",IF((I12+O12)&lt;=$AA$9,"OK","NG"),"")</f>
        <v/>
      </c>
      <c r="Q12" s="257">
        <f>COUNTA(F12:H12)</f>
        <v>0</v>
      </c>
      <c r="R12" s="257">
        <f>IF(E12="",0,1)</f>
        <v>0</v>
      </c>
      <c r="S12" s="191"/>
      <c r="T12" s="190"/>
      <c r="U12" s="189"/>
      <c r="V12" s="189"/>
      <c r="W12" s="191"/>
      <c r="X12" s="191"/>
      <c r="Y12" s="190"/>
    </row>
    <row r="13" spans="1:27" ht="24.95" customHeight="1" thickBot="1">
      <c r="A13" s="360"/>
      <c r="B13" s="66" t="str">
        <f>IF((①基本情報!M2*①基本情報!M3)&gt;=1,"主幹専任化代替(１号)","【主幹専任化不可（実施事業数不足）】")</f>
        <v>主幹専任化代替(１号)</v>
      </c>
      <c r="C13" s="54" t="s">
        <v>90</v>
      </c>
      <c r="D13" s="65"/>
      <c r="E13" s="54"/>
      <c r="F13" s="55"/>
      <c r="G13" s="55"/>
      <c r="H13" s="57"/>
      <c r="I13" s="56"/>
      <c r="J13" s="60" t="str">
        <f>IF(I13="","",IF(I13&lt;$AA$9,"非常勤","常勤"))</f>
        <v/>
      </c>
      <c r="K13" s="56"/>
      <c r="L13" s="243"/>
      <c r="M13" s="246"/>
      <c r="N13" s="231"/>
      <c r="O13" s="254"/>
      <c r="P13" s="253" t="str">
        <f t="shared" ref="P13:P75" si="0">IF(M13="あり",IF((I13+O13)&lt;=$AA$9,"OK","NG"),"")</f>
        <v/>
      </c>
      <c r="Q13" s="257">
        <f>COUNTA(F13:H13)</f>
        <v>0</v>
      </c>
      <c r="R13" s="257">
        <f t="shared" ref="R13:R75" si="1">IF(E13="",0,1)</f>
        <v>0</v>
      </c>
      <c r="S13" s="191"/>
      <c r="T13" s="190"/>
      <c r="U13" s="189"/>
      <c r="V13" s="189"/>
      <c r="W13" s="191"/>
      <c r="X13" s="191"/>
      <c r="Y13" s="190"/>
      <c r="Z13" s="6"/>
      <c r="AA13" s="6"/>
    </row>
    <row r="14" spans="1:27" ht="24.95" customHeight="1" thickBot="1">
      <c r="A14" s="360"/>
      <c r="B14" s="106" t="str">
        <f>IF((①基本情報!M2*①基本情報!M3)&gt;=1,"主幹専任化代替(２・３号)","【主幹専任化不可（実施事業数不足）】")</f>
        <v>主幹専任化代替(２・３号)</v>
      </c>
      <c r="C14" s="54" t="s">
        <v>90</v>
      </c>
      <c r="D14" s="65"/>
      <c r="E14" s="54"/>
      <c r="F14" s="55"/>
      <c r="G14" s="55"/>
      <c r="H14" s="54"/>
      <c r="I14" s="58">
        <f>AA9</f>
        <v>160</v>
      </c>
      <c r="J14" s="59" t="str">
        <f>IF(I14="","",IF(I14&lt;$AA$9,"!NG!","常勤"))</f>
        <v>常勤</v>
      </c>
      <c r="K14" s="56"/>
      <c r="L14" s="243"/>
      <c r="M14" s="246"/>
      <c r="N14" s="231"/>
      <c r="O14" s="254"/>
      <c r="P14" s="253" t="str">
        <f t="shared" si="0"/>
        <v/>
      </c>
      <c r="Q14" s="257">
        <f t="shared" ref="Q14:Q75" si="2">COUNTA(F14:H14)</f>
        <v>0</v>
      </c>
      <c r="R14" s="257">
        <f t="shared" si="1"/>
        <v>0</v>
      </c>
      <c r="S14" s="191"/>
      <c r="T14" s="190"/>
      <c r="U14" s="189"/>
      <c r="V14" s="189"/>
      <c r="W14" s="191"/>
      <c r="X14" s="191"/>
      <c r="Y14" s="190"/>
    </row>
    <row r="15" spans="1:27" ht="24.95" customHeight="1" thickBot="1">
      <c r="A15" s="360"/>
      <c r="B15" s="60" t="s">
        <v>26</v>
      </c>
      <c r="C15" s="54" t="s">
        <v>91</v>
      </c>
      <c r="D15" s="161"/>
      <c r="E15" s="54"/>
      <c r="F15" s="61"/>
      <c r="G15" s="55"/>
      <c r="H15" s="54"/>
      <c r="I15" s="54"/>
      <c r="J15" s="60" t="str">
        <f>IF(I15="","",IF(I15&lt;$AA$9,"非常勤","常勤"))</f>
        <v/>
      </c>
      <c r="K15" s="56"/>
      <c r="L15" s="243"/>
      <c r="M15" s="246"/>
      <c r="N15" s="231"/>
      <c r="O15" s="254"/>
      <c r="P15" s="253" t="str">
        <f t="shared" si="0"/>
        <v/>
      </c>
      <c r="Q15" s="257">
        <f t="shared" si="2"/>
        <v>0</v>
      </c>
      <c r="R15" s="257">
        <f t="shared" si="1"/>
        <v>0</v>
      </c>
      <c r="S15" s="191">
        <f>I15/AA9</f>
        <v>0</v>
      </c>
      <c r="T15" s="190"/>
      <c r="U15" s="189"/>
      <c r="V15" s="189"/>
      <c r="W15" s="191"/>
      <c r="X15" s="191"/>
      <c r="Y15" s="190"/>
      <c r="Z15" s="6"/>
    </row>
    <row r="16" spans="1:27" ht="24.95" customHeight="1" thickBot="1">
      <c r="A16" s="360"/>
      <c r="B16" s="60" t="str">
        <f>IF(①基本情報!H26&lt;36,"講師配置加算",IF(①基本情報!H26&gt;120,"講師配置加算","【適用不可】講師配置加算"))</f>
        <v>講師配置加算</v>
      </c>
      <c r="C16" s="54" t="s">
        <v>90</v>
      </c>
      <c r="D16" s="161"/>
      <c r="E16" s="54"/>
      <c r="F16" s="62" t="s">
        <v>16</v>
      </c>
      <c r="G16" s="63"/>
      <c r="H16" s="54"/>
      <c r="I16" s="54"/>
      <c r="J16" s="60" t="str">
        <f>IF(I16="","",IF(I16&lt;$AA$9,"非常勤","常勤"))</f>
        <v/>
      </c>
      <c r="K16" s="56"/>
      <c r="L16" s="243"/>
      <c r="M16" s="246"/>
      <c r="N16" s="231"/>
      <c r="O16" s="254"/>
      <c r="P16" s="253" t="str">
        <f t="shared" si="0"/>
        <v/>
      </c>
      <c r="Q16" s="257">
        <f t="shared" si="2"/>
        <v>1</v>
      </c>
      <c r="R16" s="257">
        <f t="shared" si="1"/>
        <v>0</v>
      </c>
      <c r="S16" s="191">
        <f>I16/AA9</f>
        <v>0</v>
      </c>
      <c r="T16" s="190"/>
      <c r="U16" s="189"/>
      <c r="V16" s="189"/>
      <c r="W16" s="191"/>
      <c r="X16" s="191"/>
      <c r="Y16" s="190"/>
      <c r="Z16" s="6"/>
    </row>
    <row r="17" spans="1:26" ht="24.95" customHeight="1">
      <c r="A17" s="360"/>
      <c r="B17" s="60" t="s">
        <v>174</v>
      </c>
      <c r="C17" s="54" t="s">
        <v>257</v>
      </c>
      <c r="D17" s="65"/>
      <c r="E17" s="54"/>
      <c r="F17" s="55"/>
      <c r="G17" s="55"/>
      <c r="H17" s="54"/>
      <c r="I17" s="54"/>
      <c r="J17" s="60" t="str">
        <f>IF(I17="","",IF(I17&lt;$AA$9,"非常勤","常勤"))</f>
        <v/>
      </c>
      <c r="K17" s="56"/>
      <c r="L17" s="243"/>
      <c r="M17" s="246"/>
      <c r="N17" s="231"/>
      <c r="O17" s="254"/>
      <c r="P17" s="253" t="str">
        <f t="shared" si="0"/>
        <v/>
      </c>
      <c r="Q17" s="257">
        <f t="shared" si="2"/>
        <v>0</v>
      </c>
      <c r="R17" s="257">
        <f t="shared" si="1"/>
        <v>0</v>
      </c>
      <c r="S17" s="191"/>
      <c r="T17" s="190"/>
      <c r="U17" s="189"/>
      <c r="V17" s="189"/>
      <c r="W17" s="191"/>
      <c r="X17" s="191"/>
      <c r="Y17" s="190"/>
    </row>
    <row r="18" spans="1:26" ht="24.95" customHeight="1">
      <c r="A18" s="360"/>
      <c r="B18" s="60" t="s">
        <v>174</v>
      </c>
      <c r="C18" s="124" t="s">
        <v>80</v>
      </c>
      <c r="D18" s="65"/>
      <c r="E18" s="54"/>
      <c r="F18" s="55"/>
      <c r="G18" s="55"/>
      <c r="H18" s="54"/>
      <c r="I18" s="54"/>
      <c r="J18" s="60" t="str">
        <f t="shared" ref="J18:J23" si="3">IF(I18="","",IF(I18&lt;$AA$9,"非常勤","常勤"))</f>
        <v/>
      </c>
      <c r="K18" s="56"/>
      <c r="L18" s="243"/>
      <c r="M18" s="246"/>
      <c r="N18" s="231"/>
      <c r="O18" s="254"/>
      <c r="P18" s="253" t="str">
        <f t="shared" si="0"/>
        <v/>
      </c>
      <c r="Q18" s="257">
        <f t="shared" si="2"/>
        <v>0</v>
      </c>
      <c r="R18" s="257">
        <f t="shared" si="1"/>
        <v>0</v>
      </c>
      <c r="S18" s="191"/>
      <c r="T18" s="190"/>
      <c r="U18" s="189"/>
      <c r="V18" s="189"/>
      <c r="W18" s="191"/>
      <c r="X18" s="191"/>
      <c r="Y18" s="190"/>
      <c r="Z18" s="6"/>
    </row>
    <row r="19" spans="1:26" ht="24.95" customHeight="1">
      <c r="A19" s="360"/>
      <c r="B19" s="64"/>
      <c r="C19" s="54" t="s">
        <v>82</v>
      </c>
      <c r="D19" s="65"/>
      <c r="E19" s="54"/>
      <c r="F19" s="55"/>
      <c r="G19" s="55"/>
      <c r="H19" s="54"/>
      <c r="I19" s="54"/>
      <c r="J19" s="60" t="str">
        <f t="shared" si="3"/>
        <v/>
      </c>
      <c r="K19" s="56"/>
      <c r="L19" s="243"/>
      <c r="M19" s="246"/>
      <c r="N19" s="231"/>
      <c r="O19" s="254"/>
      <c r="P19" s="253" t="str">
        <f t="shared" si="0"/>
        <v/>
      </c>
      <c r="Q19" s="257">
        <f t="shared" si="2"/>
        <v>0</v>
      </c>
      <c r="R19" s="257">
        <f t="shared" si="1"/>
        <v>0</v>
      </c>
      <c r="S19" s="191"/>
      <c r="T19" s="190"/>
      <c r="U19" s="189"/>
      <c r="V19" s="189"/>
      <c r="W19" s="191"/>
      <c r="X19" s="191"/>
      <c r="Y19" s="190"/>
    </row>
    <row r="20" spans="1:26" ht="24.95" customHeight="1">
      <c r="A20" s="360"/>
      <c r="B20" s="64"/>
      <c r="C20" s="54" t="s">
        <v>83</v>
      </c>
      <c r="D20" s="65"/>
      <c r="E20" s="54"/>
      <c r="F20" s="55"/>
      <c r="G20" s="55"/>
      <c r="H20" s="54"/>
      <c r="I20" s="54"/>
      <c r="J20" s="60" t="str">
        <f t="shared" si="3"/>
        <v/>
      </c>
      <c r="K20" s="56"/>
      <c r="L20" s="243"/>
      <c r="M20" s="246"/>
      <c r="N20" s="231"/>
      <c r="O20" s="254"/>
      <c r="P20" s="253" t="str">
        <f t="shared" si="0"/>
        <v/>
      </c>
      <c r="Q20" s="257">
        <f t="shared" si="2"/>
        <v>0</v>
      </c>
      <c r="R20" s="257">
        <f t="shared" si="1"/>
        <v>0</v>
      </c>
      <c r="S20" s="191"/>
      <c r="T20" s="190"/>
      <c r="U20" s="189"/>
      <c r="V20" s="189"/>
      <c r="W20" s="191"/>
      <c r="X20" s="191"/>
      <c r="Y20" s="190"/>
    </row>
    <row r="21" spans="1:26" ht="24.95" customHeight="1">
      <c r="A21" s="360"/>
      <c r="B21" s="64"/>
      <c r="C21" s="54" t="s">
        <v>83</v>
      </c>
      <c r="D21" s="65"/>
      <c r="E21" s="54"/>
      <c r="F21" s="55"/>
      <c r="G21" s="55"/>
      <c r="H21" s="54"/>
      <c r="I21" s="54"/>
      <c r="J21" s="60" t="str">
        <f t="shared" si="3"/>
        <v/>
      </c>
      <c r="K21" s="56"/>
      <c r="L21" s="243"/>
      <c r="M21" s="246"/>
      <c r="N21" s="231"/>
      <c r="O21" s="254"/>
      <c r="P21" s="253" t="str">
        <f t="shared" si="0"/>
        <v/>
      </c>
      <c r="Q21" s="257">
        <f t="shared" si="2"/>
        <v>0</v>
      </c>
      <c r="R21" s="257">
        <f t="shared" si="1"/>
        <v>0</v>
      </c>
      <c r="S21" s="191"/>
      <c r="T21" s="190"/>
      <c r="U21" s="189"/>
      <c r="V21" s="189"/>
      <c r="W21" s="191"/>
      <c r="X21" s="191"/>
      <c r="Y21" s="190"/>
    </row>
    <row r="22" spans="1:26" ht="24.95" customHeight="1">
      <c r="A22" s="360"/>
      <c r="B22" s="64"/>
      <c r="C22" s="54" t="s">
        <v>83</v>
      </c>
      <c r="D22" s="65"/>
      <c r="E22" s="54"/>
      <c r="F22" s="55"/>
      <c r="G22" s="55"/>
      <c r="H22" s="54"/>
      <c r="I22" s="54"/>
      <c r="J22" s="60" t="str">
        <f t="shared" si="3"/>
        <v/>
      </c>
      <c r="K22" s="56"/>
      <c r="L22" s="243"/>
      <c r="M22" s="246"/>
      <c r="N22" s="231"/>
      <c r="O22" s="254"/>
      <c r="P22" s="253" t="str">
        <f t="shared" si="0"/>
        <v/>
      </c>
      <c r="Q22" s="257">
        <f t="shared" si="2"/>
        <v>0</v>
      </c>
      <c r="R22" s="257">
        <f t="shared" si="1"/>
        <v>0</v>
      </c>
      <c r="S22" s="191"/>
      <c r="T22" s="190"/>
      <c r="U22" s="189"/>
      <c r="V22" s="189"/>
      <c r="W22" s="191"/>
      <c r="X22" s="191"/>
      <c r="Y22" s="190"/>
    </row>
    <row r="23" spans="1:26" ht="24.95" customHeight="1">
      <c r="A23" s="360"/>
      <c r="B23" s="64"/>
      <c r="C23" s="54" t="s">
        <v>84</v>
      </c>
      <c r="D23" s="65"/>
      <c r="E23" s="54"/>
      <c r="F23" s="55"/>
      <c r="G23" s="55"/>
      <c r="H23" s="54"/>
      <c r="I23" s="54"/>
      <c r="J23" s="60" t="str">
        <f t="shared" si="3"/>
        <v/>
      </c>
      <c r="K23" s="56"/>
      <c r="L23" s="243"/>
      <c r="M23" s="246"/>
      <c r="N23" s="231"/>
      <c r="O23" s="254"/>
      <c r="P23" s="253" t="str">
        <f t="shared" si="0"/>
        <v/>
      </c>
      <c r="Q23" s="257">
        <f t="shared" si="2"/>
        <v>0</v>
      </c>
      <c r="R23" s="257">
        <f t="shared" si="1"/>
        <v>0</v>
      </c>
      <c r="S23" s="191"/>
      <c r="T23" s="190"/>
      <c r="U23" s="189"/>
      <c r="V23" s="189"/>
      <c r="W23" s="191"/>
      <c r="X23" s="191"/>
      <c r="Y23" s="190"/>
    </row>
    <row r="24" spans="1:26" ht="24.95" customHeight="1">
      <c r="A24" s="360"/>
      <c r="B24" s="64"/>
      <c r="C24" s="54"/>
      <c r="D24" s="65"/>
      <c r="E24" s="54"/>
      <c r="F24" s="55"/>
      <c r="G24" s="55"/>
      <c r="H24" s="54"/>
      <c r="I24" s="54"/>
      <c r="J24" s="60" t="str">
        <f t="shared" ref="J24:J26" si="4">IF(I24="","",IF(I24&lt;$AA$9,"非常勤","常勤"))</f>
        <v/>
      </c>
      <c r="K24" s="56"/>
      <c r="L24" s="243"/>
      <c r="M24" s="246"/>
      <c r="N24" s="231"/>
      <c r="O24" s="254"/>
      <c r="P24" s="253" t="str">
        <f t="shared" si="0"/>
        <v/>
      </c>
      <c r="Q24" s="257">
        <f t="shared" si="2"/>
        <v>0</v>
      </c>
      <c r="R24" s="257">
        <f t="shared" si="1"/>
        <v>0</v>
      </c>
      <c r="S24" s="191"/>
      <c r="T24" s="190"/>
      <c r="U24" s="189"/>
      <c r="V24" s="189"/>
      <c r="W24" s="191"/>
      <c r="X24" s="191"/>
      <c r="Y24" s="190"/>
    </row>
    <row r="25" spans="1:26" ht="24.95" customHeight="1">
      <c r="A25" s="360"/>
      <c r="B25" s="64"/>
      <c r="C25" s="54"/>
      <c r="D25" s="65"/>
      <c r="E25" s="54"/>
      <c r="F25" s="55"/>
      <c r="G25" s="55"/>
      <c r="H25" s="54"/>
      <c r="I25" s="54"/>
      <c r="J25" s="60" t="str">
        <f t="shared" si="4"/>
        <v/>
      </c>
      <c r="K25" s="56"/>
      <c r="L25" s="243"/>
      <c r="M25" s="246"/>
      <c r="N25" s="231"/>
      <c r="O25" s="254"/>
      <c r="P25" s="253" t="str">
        <f t="shared" si="0"/>
        <v/>
      </c>
      <c r="Q25" s="257">
        <f t="shared" si="2"/>
        <v>0</v>
      </c>
      <c r="R25" s="257">
        <f t="shared" si="1"/>
        <v>0</v>
      </c>
      <c r="S25" s="191"/>
      <c r="T25" s="190"/>
      <c r="U25" s="189"/>
      <c r="V25" s="189"/>
      <c r="W25" s="191"/>
      <c r="X25" s="191"/>
      <c r="Y25" s="190"/>
    </row>
    <row r="26" spans="1:26" ht="24.95" customHeight="1">
      <c r="A26" s="361"/>
      <c r="B26" s="64"/>
      <c r="C26" s="54"/>
      <c r="D26" s="286"/>
      <c r="E26" s="54"/>
      <c r="F26" s="55"/>
      <c r="G26" s="55"/>
      <c r="H26" s="54"/>
      <c r="I26" s="54"/>
      <c r="J26" s="60" t="str">
        <f t="shared" si="4"/>
        <v/>
      </c>
      <c r="K26" s="56"/>
      <c r="L26" s="243"/>
      <c r="M26" s="246"/>
      <c r="N26" s="231"/>
      <c r="O26" s="254"/>
      <c r="P26" s="253" t="str">
        <f t="shared" si="0"/>
        <v/>
      </c>
      <c r="Q26" s="257">
        <f t="shared" si="2"/>
        <v>0</v>
      </c>
      <c r="R26" s="257">
        <f t="shared" si="1"/>
        <v>0</v>
      </c>
      <c r="S26" s="191"/>
      <c r="T26" s="190"/>
      <c r="U26" s="189"/>
      <c r="V26" s="189"/>
      <c r="W26" s="191"/>
      <c r="X26" s="191"/>
      <c r="Y26" s="190"/>
    </row>
    <row r="27" spans="1:26" s="114" customFormat="1" ht="6" customHeight="1">
      <c r="A27" s="110"/>
      <c r="B27" s="111"/>
      <c r="C27" s="111"/>
      <c r="D27" s="111"/>
      <c r="E27" s="111"/>
      <c r="F27" s="112"/>
      <c r="G27" s="111"/>
      <c r="H27" s="111"/>
      <c r="I27" s="111"/>
      <c r="J27" s="111"/>
      <c r="K27" s="111"/>
      <c r="L27" s="113"/>
      <c r="M27" s="230"/>
      <c r="N27" s="230"/>
      <c r="O27" s="255"/>
      <c r="P27" s="253" t="str">
        <f t="shared" si="0"/>
        <v/>
      </c>
      <c r="Q27" s="257">
        <f t="shared" si="2"/>
        <v>0</v>
      </c>
      <c r="R27" s="257">
        <f t="shared" si="1"/>
        <v>0</v>
      </c>
      <c r="S27" s="193"/>
      <c r="T27" s="192"/>
      <c r="U27" s="192"/>
      <c r="V27" s="192"/>
      <c r="W27" s="192"/>
      <c r="X27" s="192"/>
      <c r="Y27" s="192"/>
      <c r="Z27" s="95"/>
    </row>
    <row r="28" spans="1:26" ht="24.95" customHeight="1">
      <c r="A28" s="356" t="s">
        <v>135</v>
      </c>
      <c r="B28" s="362" t="s">
        <v>231</v>
      </c>
      <c r="C28" s="54"/>
      <c r="D28" s="286"/>
      <c r="E28" s="54"/>
      <c r="F28" s="55"/>
      <c r="G28" s="55"/>
      <c r="H28" s="54"/>
      <c r="I28" s="54"/>
      <c r="J28" s="60" t="str">
        <f t="shared" ref="J28:J32" si="5">IF(I28="","",IF(I28&lt;$AA$9,"非常勤","常勤"))</f>
        <v/>
      </c>
      <c r="K28" s="56"/>
      <c r="L28" s="243"/>
      <c r="M28" s="246"/>
      <c r="N28" s="231"/>
      <c r="O28" s="254"/>
      <c r="P28" s="253" t="str">
        <f t="shared" si="0"/>
        <v/>
      </c>
      <c r="Q28" s="257">
        <f t="shared" si="2"/>
        <v>0</v>
      </c>
      <c r="R28" s="257">
        <f t="shared" si="1"/>
        <v>0</v>
      </c>
      <c r="S28" s="191"/>
      <c r="T28" s="190"/>
      <c r="U28" s="191"/>
      <c r="V28" s="191"/>
      <c r="W28" s="191"/>
      <c r="X28" s="191"/>
      <c r="Y28" s="190"/>
    </row>
    <row r="29" spans="1:26" ht="24.95" customHeight="1">
      <c r="A29" s="357"/>
      <c r="B29" s="363"/>
      <c r="C29" s="54"/>
      <c r="D29" s="286"/>
      <c r="E29" s="54"/>
      <c r="F29" s="55"/>
      <c r="G29" s="55"/>
      <c r="H29" s="54"/>
      <c r="I29" s="54"/>
      <c r="J29" s="60" t="str">
        <f t="shared" si="5"/>
        <v/>
      </c>
      <c r="K29" s="56"/>
      <c r="L29" s="243"/>
      <c r="M29" s="246"/>
      <c r="N29" s="231"/>
      <c r="O29" s="254"/>
      <c r="P29" s="253" t="str">
        <f t="shared" si="0"/>
        <v/>
      </c>
      <c r="Q29" s="257">
        <f t="shared" si="2"/>
        <v>0</v>
      </c>
      <c r="R29" s="257">
        <f t="shared" si="1"/>
        <v>0</v>
      </c>
      <c r="S29" s="191"/>
      <c r="T29" s="190"/>
      <c r="U29" s="191"/>
      <c r="V29" s="191"/>
      <c r="W29" s="191"/>
      <c r="X29" s="191"/>
      <c r="Y29" s="190"/>
    </row>
    <row r="30" spans="1:26" ht="24.95" customHeight="1">
      <c r="A30" s="357"/>
      <c r="B30" s="363"/>
      <c r="C30" s="54"/>
      <c r="D30" s="286"/>
      <c r="E30" s="54"/>
      <c r="F30" s="55"/>
      <c r="G30" s="55"/>
      <c r="H30" s="54"/>
      <c r="I30" s="54"/>
      <c r="J30" s="60" t="str">
        <f t="shared" si="5"/>
        <v/>
      </c>
      <c r="K30" s="56"/>
      <c r="L30" s="243"/>
      <c r="M30" s="246"/>
      <c r="N30" s="250"/>
      <c r="O30" s="256"/>
      <c r="P30" s="253" t="str">
        <f t="shared" si="0"/>
        <v/>
      </c>
      <c r="Q30" s="257">
        <f t="shared" si="2"/>
        <v>0</v>
      </c>
      <c r="R30" s="257">
        <f t="shared" si="1"/>
        <v>0</v>
      </c>
      <c r="S30" s="191"/>
      <c r="T30" s="190"/>
      <c r="U30" s="191"/>
      <c r="V30" s="191"/>
      <c r="W30" s="191"/>
      <c r="X30" s="191"/>
      <c r="Y30" s="190"/>
    </row>
    <row r="31" spans="1:26" ht="24.95" customHeight="1">
      <c r="A31" s="357"/>
      <c r="B31" s="363"/>
      <c r="C31" s="54"/>
      <c r="D31" s="286"/>
      <c r="E31" s="54"/>
      <c r="F31" s="55"/>
      <c r="G31" s="55"/>
      <c r="H31" s="54"/>
      <c r="I31" s="54"/>
      <c r="J31" s="60" t="str">
        <f t="shared" si="5"/>
        <v/>
      </c>
      <c r="K31" s="56"/>
      <c r="L31" s="243"/>
      <c r="M31" s="248"/>
      <c r="N31" s="231"/>
      <c r="O31" s="254"/>
      <c r="P31" s="253" t="str">
        <f t="shared" si="0"/>
        <v/>
      </c>
      <c r="Q31" s="257">
        <f t="shared" si="2"/>
        <v>0</v>
      </c>
      <c r="R31" s="257">
        <f t="shared" si="1"/>
        <v>0</v>
      </c>
      <c r="S31" s="191"/>
      <c r="T31" s="190"/>
      <c r="U31" s="191"/>
      <c r="V31" s="191"/>
      <c r="W31" s="191"/>
      <c r="X31" s="191"/>
      <c r="Y31" s="190"/>
    </row>
    <row r="32" spans="1:26" ht="24.95" customHeight="1">
      <c r="A32" s="358"/>
      <c r="B32" s="364"/>
      <c r="C32" s="54"/>
      <c r="D32" s="286"/>
      <c r="E32" s="54"/>
      <c r="F32" s="55"/>
      <c r="G32" s="55"/>
      <c r="H32" s="54"/>
      <c r="I32" s="54"/>
      <c r="J32" s="60" t="str">
        <f t="shared" si="5"/>
        <v/>
      </c>
      <c r="K32" s="56"/>
      <c r="L32" s="188"/>
      <c r="M32" s="249"/>
      <c r="N32" s="231"/>
      <c r="O32" s="254"/>
      <c r="P32" s="253" t="str">
        <f t="shared" si="0"/>
        <v/>
      </c>
      <c r="Q32" s="257">
        <f t="shared" si="2"/>
        <v>0</v>
      </c>
      <c r="R32" s="257">
        <f t="shared" si="1"/>
        <v>0</v>
      </c>
      <c r="S32" s="191"/>
      <c r="T32" s="190"/>
      <c r="U32" s="191"/>
      <c r="V32" s="191" t="s">
        <v>132</v>
      </c>
      <c r="W32" s="191"/>
      <c r="X32" s="191" t="s">
        <v>133</v>
      </c>
      <c r="Y32" s="190"/>
    </row>
    <row r="33" spans="1:32" s="114" customFormat="1" ht="6" customHeight="1">
      <c r="A33" s="110"/>
      <c r="B33" s="111"/>
      <c r="C33" s="111"/>
      <c r="D33" s="111"/>
      <c r="E33" s="111"/>
      <c r="F33" s="112"/>
      <c r="G33" s="111"/>
      <c r="H33" s="111"/>
      <c r="I33" s="111"/>
      <c r="J33" s="111"/>
      <c r="K33" s="111"/>
      <c r="L33" s="113"/>
      <c r="M33" s="230"/>
      <c r="N33" s="230"/>
      <c r="O33" s="255"/>
      <c r="P33" s="253" t="str">
        <f t="shared" si="0"/>
        <v/>
      </c>
      <c r="Q33" s="257">
        <f t="shared" si="2"/>
        <v>0</v>
      </c>
      <c r="R33" s="257">
        <f t="shared" si="1"/>
        <v>0</v>
      </c>
      <c r="S33" s="193"/>
      <c r="T33" s="192"/>
      <c r="U33" s="192"/>
      <c r="V33" s="192"/>
      <c r="W33" s="192"/>
      <c r="X33" s="192"/>
      <c r="Y33" s="192"/>
      <c r="Z33" s="95"/>
    </row>
    <row r="34" spans="1:32" ht="24.95" customHeight="1">
      <c r="A34" s="115" t="s">
        <v>136</v>
      </c>
      <c r="B34" s="64"/>
      <c r="C34" s="66" t="s">
        <v>134</v>
      </c>
      <c r="D34" s="65"/>
      <c r="E34" s="54"/>
      <c r="F34" s="55"/>
      <c r="G34" s="55"/>
      <c r="H34" s="54"/>
      <c r="I34" s="54"/>
      <c r="J34" s="60" t="str">
        <f t="shared" ref="J34" si="6">IF(I34="","",IF(I34&lt;$AA$9,"非常勤","常勤"))</f>
        <v/>
      </c>
      <c r="K34" s="54"/>
      <c r="L34" s="243"/>
      <c r="M34" s="246"/>
      <c r="N34" s="231"/>
      <c r="O34" s="254"/>
      <c r="P34" s="253" t="str">
        <f t="shared" si="0"/>
        <v/>
      </c>
      <c r="Q34" s="257">
        <f t="shared" si="2"/>
        <v>0</v>
      </c>
      <c r="R34" s="257">
        <f t="shared" si="1"/>
        <v>0</v>
      </c>
      <c r="S34" s="191"/>
      <c r="T34" s="190"/>
      <c r="U34" s="191"/>
      <c r="V34" s="191"/>
      <c r="W34" s="191"/>
      <c r="X34" s="191"/>
      <c r="Y34" s="190"/>
    </row>
    <row r="35" spans="1:32" s="114" customFormat="1" ht="6" customHeight="1" thickBot="1">
      <c r="A35" s="232"/>
      <c r="B35" s="233"/>
      <c r="C35" s="233"/>
      <c r="D35" s="233"/>
      <c r="E35" s="233"/>
      <c r="F35" s="234"/>
      <c r="G35" s="233"/>
      <c r="H35" s="233"/>
      <c r="I35" s="233"/>
      <c r="J35" s="233"/>
      <c r="K35" s="233"/>
      <c r="L35" s="235"/>
      <c r="M35" s="230"/>
      <c r="N35" s="230"/>
      <c r="O35" s="230"/>
      <c r="P35" s="253" t="str">
        <f t="shared" si="0"/>
        <v/>
      </c>
      <c r="Q35" s="257">
        <f t="shared" si="2"/>
        <v>0</v>
      </c>
      <c r="R35" s="257">
        <f t="shared" si="1"/>
        <v>0</v>
      </c>
      <c r="S35" s="193"/>
      <c r="T35" s="192"/>
      <c r="U35" s="192"/>
      <c r="V35" s="192"/>
      <c r="W35" s="192"/>
      <c r="X35" s="192"/>
      <c r="Y35" s="192"/>
      <c r="Z35" s="95"/>
    </row>
    <row r="36" spans="1:32" s="114" customFormat="1" ht="13.5" customHeight="1" thickBot="1">
      <c r="A36" s="350" t="s">
        <v>175</v>
      </c>
      <c r="B36" s="350"/>
      <c r="C36" s="350"/>
      <c r="D36" s="350"/>
      <c r="E36" s="350"/>
      <c r="F36" s="350"/>
      <c r="G36" s="350"/>
      <c r="H36" s="350"/>
      <c r="I36" s="351"/>
      <c r="J36" s="350"/>
      <c r="K36" s="350"/>
      <c r="L36" s="350"/>
      <c r="M36" s="349"/>
      <c r="N36" s="349"/>
      <c r="O36" s="349"/>
      <c r="P36" s="253" t="str">
        <f t="shared" si="0"/>
        <v/>
      </c>
      <c r="Q36" s="257">
        <f t="shared" si="2"/>
        <v>0</v>
      </c>
      <c r="R36" s="257">
        <f t="shared" si="1"/>
        <v>0</v>
      </c>
      <c r="S36" s="193"/>
      <c r="T36" s="193"/>
      <c r="U36" s="193"/>
      <c r="V36" s="193"/>
      <c r="W36" s="193"/>
      <c r="X36" s="193"/>
      <c r="Y36" s="193"/>
      <c r="Z36" s="198"/>
      <c r="AA36" s="199"/>
      <c r="AB36" s="199"/>
      <c r="AC36" s="199"/>
      <c r="AD36" s="199"/>
      <c r="AE36" s="199"/>
      <c r="AF36" s="200"/>
    </row>
    <row r="37" spans="1:32" ht="24.95" customHeight="1" thickBot="1">
      <c r="A37" s="236">
        <v>1</v>
      </c>
      <c r="B37" s="237" t="s">
        <v>100</v>
      </c>
      <c r="C37" s="238" t="s">
        <v>92</v>
      </c>
      <c r="D37" s="239" t="s">
        <v>86</v>
      </c>
      <c r="E37" s="240"/>
      <c r="F37" s="241" t="s">
        <v>79</v>
      </c>
      <c r="G37" s="241" t="s">
        <v>79</v>
      </c>
      <c r="H37" s="264"/>
      <c r="I37" s="58">
        <v>160</v>
      </c>
      <c r="J37" s="265" t="str">
        <f t="shared" ref="J37:J86" si="7">IF(I37="","",IF(I37&lt;$AA$9,"非常勤","常勤"))</f>
        <v>常勤</v>
      </c>
      <c r="K37" s="242"/>
      <c r="L37" s="243"/>
      <c r="M37" s="246"/>
      <c r="N37" s="231"/>
      <c r="O37" s="254"/>
      <c r="P37" s="253" t="str">
        <f t="shared" si="0"/>
        <v/>
      </c>
      <c r="Q37" s="257">
        <f>COUNTA(F37:H37)</f>
        <v>2</v>
      </c>
      <c r="R37" s="257">
        <f t="shared" si="1"/>
        <v>0</v>
      </c>
      <c r="S37" s="191"/>
      <c r="T37" s="190"/>
      <c r="U37" s="191"/>
      <c r="V37" s="191"/>
      <c r="W37" s="191"/>
      <c r="X37" s="191"/>
      <c r="Y37" s="190"/>
      <c r="Z37" s="97"/>
      <c r="AA37" s="52" t="s">
        <v>259</v>
      </c>
      <c r="AB37" s="46" t="s">
        <v>66</v>
      </c>
      <c r="AC37" s="47" t="s">
        <v>67</v>
      </c>
      <c r="AD37" s="47" t="s">
        <v>68</v>
      </c>
      <c r="AE37" s="28"/>
      <c r="AF37" s="201"/>
    </row>
    <row r="38" spans="1:32" ht="24.95" customHeight="1" thickBot="1">
      <c r="A38" s="5">
        <v>2</v>
      </c>
      <c r="B38" s="71" t="s">
        <v>100</v>
      </c>
      <c r="C38" s="60" t="s">
        <v>92</v>
      </c>
      <c r="D38" s="70" t="s">
        <v>85</v>
      </c>
      <c r="E38" s="54"/>
      <c r="F38" s="55" t="s">
        <v>79</v>
      </c>
      <c r="G38" s="55" t="s">
        <v>79</v>
      </c>
      <c r="H38" s="57"/>
      <c r="I38" s="290">
        <v>160</v>
      </c>
      <c r="J38" s="59" t="str">
        <f t="shared" si="7"/>
        <v>常勤</v>
      </c>
      <c r="K38" s="56"/>
      <c r="L38" s="243"/>
      <c r="M38" s="246"/>
      <c r="N38" s="231"/>
      <c r="O38" s="254"/>
      <c r="P38" s="253" t="str">
        <f t="shared" si="0"/>
        <v/>
      </c>
      <c r="Q38" s="257">
        <f t="shared" si="2"/>
        <v>2</v>
      </c>
      <c r="R38" s="257">
        <f t="shared" si="1"/>
        <v>0</v>
      </c>
      <c r="S38" s="191"/>
      <c r="T38" s="190"/>
      <c r="U38" s="191"/>
      <c r="V38" s="191"/>
      <c r="W38" s="191"/>
      <c r="X38" s="191"/>
      <c r="Y38" s="190"/>
      <c r="Z38" s="97"/>
      <c r="AA38" s="44" t="s">
        <v>69</v>
      </c>
      <c r="AB38" s="45">
        <f>COUNTIF($J$37:$J86,"常勤")+COUNTIF(J34,"常勤")+S39</f>
        <v>2</v>
      </c>
      <c r="AC38" s="45">
        <f>SUMIFS($I$37:$I86,$J$37:$J86,"常勤")+SUMIF(J34,"常勤",I34)+I39*S39</f>
        <v>320</v>
      </c>
      <c r="AD38" s="285">
        <f>ROUNDDOWN(AC38/AA9,1)</f>
        <v>2</v>
      </c>
      <c r="AE38" s="28"/>
      <c r="AF38" s="201"/>
    </row>
    <row r="39" spans="1:32" ht="24.95" customHeight="1" thickBot="1">
      <c r="A39" s="5">
        <v>3</v>
      </c>
      <c r="B39" s="71" t="s">
        <v>41</v>
      </c>
      <c r="C39" s="54"/>
      <c r="D39" s="286"/>
      <c r="E39" s="54"/>
      <c r="F39" s="55"/>
      <c r="G39" s="55"/>
      <c r="H39" s="57"/>
      <c r="I39" s="54"/>
      <c r="J39" s="59" t="str">
        <f>IF(I39="","",IF(I39&lt;$AA$9,"非常勤","常勤"))</f>
        <v/>
      </c>
      <c r="K39" s="56"/>
      <c r="L39" s="243"/>
      <c r="M39" s="246"/>
      <c r="N39" s="231"/>
      <c r="O39" s="254"/>
      <c r="P39" s="253" t="str">
        <f t="shared" si="0"/>
        <v/>
      </c>
      <c r="Q39" s="257">
        <f t="shared" si="2"/>
        <v>0</v>
      </c>
      <c r="R39" s="257">
        <f t="shared" si="1"/>
        <v>0</v>
      </c>
      <c r="S39" s="191">
        <f>IF(E39="",0,IF(AND(F39="",G39=""),-1,0))</f>
        <v>0</v>
      </c>
      <c r="T39" s="190"/>
      <c r="U39" s="191"/>
      <c r="V39" s="191"/>
      <c r="W39" s="191"/>
      <c r="X39" s="191"/>
      <c r="Y39" s="190"/>
      <c r="Z39" s="202"/>
      <c r="AA39" s="45" t="s">
        <v>70</v>
      </c>
      <c r="AB39" s="45">
        <f>COUNTIF($J$37:$J86,"非常勤")+COUNTIF(J34,"非常勤")</f>
        <v>0</v>
      </c>
      <c r="AC39" s="45">
        <f>SUMIFS($I$37:$I86,$J$37:$J86,"非常勤")+SUMIF(J34,"非常勤",I34)</f>
        <v>0</v>
      </c>
      <c r="AD39" s="196">
        <f>ROUNDDOWN(AC39/AA9,1)</f>
        <v>0</v>
      </c>
      <c r="AE39" s="197">
        <f>AD38+AD39</f>
        <v>2</v>
      </c>
      <c r="AF39" s="201"/>
    </row>
    <row r="40" spans="1:32" ht="24.95" customHeight="1">
      <c r="A40" s="5">
        <v>4</v>
      </c>
      <c r="B40" s="258" t="str">
        <f>IF(R40=0,"",IF(Q40=0,"職員換算対象外",""))</f>
        <v/>
      </c>
      <c r="C40" s="54"/>
      <c r="D40" s="286"/>
      <c r="E40" s="54"/>
      <c r="F40" s="55"/>
      <c r="G40" s="55"/>
      <c r="H40" s="54"/>
      <c r="I40" s="240"/>
      <c r="J40" s="265" t="str">
        <f t="shared" si="7"/>
        <v/>
      </c>
      <c r="K40" s="56"/>
      <c r="L40" s="243"/>
      <c r="M40" s="246"/>
      <c r="N40" s="231"/>
      <c r="O40" s="254"/>
      <c r="P40" s="253" t="str">
        <f t="shared" si="0"/>
        <v/>
      </c>
      <c r="Q40" s="257">
        <f t="shared" si="2"/>
        <v>0</v>
      </c>
      <c r="R40" s="257">
        <f t="shared" si="1"/>
        <v>0</v>
      </c>
      <c r="S40" s="191"/>
      <c r="T40" s="190"/>
      <c r="U40" s="191"/>
      <c r="V40" s="191"/>
      <c r="W40" s="191"/>
      <c r="X40" s="191"/>
      <c r="Y40" s="190"/>
      <c r="Z40" s="97"/>
      <c r="AA40" s="52" t="s">
        <v>258</v>
      </c>
      <c r="AB40" s="46" t="s">
        <v>66</v>
      </c>
      <c r="AC40" s="47" t="s">
        <v>67</v>
      </c>
      <c r="AD40" s="47" t="s">
        <v>68</v>
      </c>
      <c r="AE40" s="28"/>
      <c r="AF40" s="201"/>
    </row>
    <row r="41" spans="1:32" ht="24.95" customHeight="1" thickBot="1">
      <c r="A41" s="5">
        <v>5</v>
      </c>
      <c r="B41" s="258" t="str">
        <f t="shared" ref="B41:B86" si="8">IF(R41=0,"",IF(Q41=0,"職員換算対象外",""))</f>
        <v/>
      </c>
      <c r="C41" s="54"/>
      <c r="D41" s="286"/>
      <c r="E41" s="54"/>
      <c r="F41" s="55"/>
      <c r="G41" s="55"/>
      <c r="H41" s="54"/>
      <c r="I41" s="54"/>
      <c r="J41" s="59" t="str">
        <f t="shared" si="7"/>
        <v/>
      </c>
      <c r="K41" s="56"/>
      <c r="L41" s="243"/>
      <c r="M41" s="246"/>
      <c r="N41" s="231"/>
      <c r="O41" s="254"/>
      <c r="P41" s="253" t="str">
        <f t="shared" si="0"/>
        <v/>
      </c>
      <c r="Q41" s="257">
        <f t="shared" si="2"/>
        <v>0</v>
      </c>
      <c r="R41" s="257">
        <f t="shared" si="1"/>
        <v>0</v>
      </c>
      <c r="S41" s="191"/>
      <c r="T41" s="190"/>
      <c r="U41" s="191"/>
      <c r="V41" s="191"/>
      <c r="W41" s="191"/>
      <c r="X41" s="191"/>
      <c r="Y41" s="190"/>
      <c r="Z41" s="97"/>
      <c r="AA41" s="44" t="s">
        <v>69</v>
      </c>
      <c r="AB41" s="45">
        <f>COUNTIF(J12:J26,"常勤")+COUNTIF(J34,"常勤")+COUNTIF(J37:J86,"常勤")</f>
        <v>4</v>
      </c>
      <c r="AC41" s="45">
        <f>SUMIFS(I12:I26,J12:J26,"常勤")+SUMIFS(I37:I86,J37:J86,"常勤")+SUMIF(J34,"常勤",I34)</f>
        <v>640</v>
      </c>
      <c r="AD41" s="285">
        <f>ROUNDDOWN(AC41/AA9,1)</f>
        <v>4</v>
      </c>
      <c r="AE41" s="28"/>
      <c r="AF41" s="201"/>
    </row>
    <row r="42" spans="1:32" ht="24.95" customHeight="1" thickBot="1">
      <c r="A42" s="5">
        <v>6</v>
      </c>
      <c r="B42" s="258" t="str">
        <f t="shared" si="8"/>
        <v/>
      </c>
      <c r="C42" s="54"/>
      <c r="D42" s="286"/>
      <c r="E42" s="54"/>
      <c r="F42" s="55"/>
      <c r="G42" s="55"/>
      <c r="H42" s="54"/>
      <c r="I42" s="54"/>
      <c r="J42" s="265" t="str">
        <f t="shared" si="7"/>
        <v/>
      </c>
      <c r="K42" s="56"/>
      <c r="L42" s="243"/>
      <c r="M42" s="246"/>
      <c r="N42" s="231"/>
      <c r="O42" s="254"/>
      <c r="P42" s="253" t="str">
        <f t="shared" si="0"/>
        <v/>
      </c>
      <c r="Q42" s="257">
        <f t="shared" si="2"/>
        <v>0</v>
      </c>
      <c r="R42" s="257">
        <f t="shared" si="1"/>
        <v>0</v>
      </c>
      <c r="S42" s="191"/>
      <c r="T42" s="190"/>
      <c r="U42" s="191"/>
      <c r="V42" s="191"/>
      <c r="W42" s="191"/>
      <c r="X42" s="191"/>
      <c r="Y42" s="190"/>
      <c r="Z42" s="97"/>
      <c r="AA42" s="45" t="s">
        <v>70</v>
      </c>
      <c r="AB42" s="45">
        <f>COUNTIF(J12:J26,"非常勤")+COUNTIF(J34,"非常勤")+COUNTIF(J37:J86,"非常勤")</f>
        <v>0</v>
      </c>
      <c r="AC42" s="45">
        <f>SUMIFS(I12:I26,J12:J26,"非常勤")+SUMIFS(I37:I86,J37:J86,"非常勤")+SUMIF(J34,"非常勤",I34)</f>
        <v>0</v>
      </c>
      <c r="AD42" s="196">
        <f>ROUNDDOWN(AC42/AA9,1)</f>
        <v>0</v>
      </c>
      <c r="AE42" s="197">
        <f>AD41+AD42</f>
        <v>4</v>
      </c>
      <c r="AF42" s="201"/>
    </row>
    <row r="43" spans="1:32" ht="24.95" customHeight="1" thickBot="1">
      <c r="A43" s="5">
        <v>7</v>
      </c>
      <c r="B43" s="258" t="str">
        <f t="shared" si="8"/>
        <v/>
      </c>
      <c r="C43" s="54"/>
      <c r="D43" s="286"/>
      <c r="E43" s="54"/>
      <c r="F43" s="55"/>
      <c r="G43" s="55"/>
      <c r="H43" s="54"/>
      <c r="I43" s="54"/>
      <c r="J43" s="265" t="str">
        <f t="shared" si="7"/>
        <v/>
      </c>
      <c r="K43" s="56"/>
      <c r="L43" s="243"/>
      <c r="M43" s="246"/>
      <c r="N43" s="231"/>
      <c r="O43" s="254"/>
      <c r="P43" s="253" t="str">
        <f t="shared" si="0"/>
        <v/>
      </c>
      <c r="Q43" s="257">
        <f t="shared" si="2"/>
        <v>0</v>
      </c>
      <c r="R43" s="257">
        <f t="shared" si="1"/>
        <v>0</v>
      </c>
      <c r="S43" s="191"/>
      <c r="T43" s="190"/>
      <c r="U43" s="191"/>
      <c r="V43" s="191"/>
      <c r="W43" s="191"/>
      <c r="X43" s="191"/>
      <c r="Y43" s="190"/>
      <c r="Z43" s="99"/>
      <c r="AA43" s="203"/>
      <c r="AB43" s="203"/>
      <c r="AC43" s="203"/>
      <c r="AD43" s="203"/>
      <c r="AE43" s="203"/>
      <c r="AF43" s="204"/>
    </row>
    <row r="44" spans="1:32" ht="24.95" customHeight="1">
      <c r="A44" s="5">
        <v>8</v>
      </c>
      <c r="B44" s="258" t="str">
        <f t="shared" si="8"/>
        <v/>
      </c>
      <c r="C44" s="54"/>
      <c r="D44" s="286"/>
      <c r="E44" s="54"/>
      <c r="F44" s="55"/>
      <c r="G44" s="55"/>
      <c r="H44" s="54"/>
      <c r="I44" s="54"/>
      <c r="J44" s="59" t="str">
        <f t="shared" si="7"/>
        <v/>
      </c>
      <c r="K44" s="56"/>
      <c r="L44" s="243"/>
      <c r="M44" s="246"/>
      <c r="N44" s="231"/>
      <c r="O44" s="254"/>
      <c r="P44" s="253" t="str">
        <f t="shared" si="0"/>
        <v/>
      </c>
      <c r="Q44" s="257">
        <f t="shared" si="2"/>
        <v>0</v>
      </c>
      <c r="R44" s="257">
        <f t="shared" si="1"/>
        <v>0</v>
      </c>
      <c r="S44" s="191"/>
      <c r="T44" s="190"/>
      <c r="U44" s="191"/>
      <c r="V44" s="191"/>
      <c r="W44" s="191"/>
      <c r="X44" s="191"/>
      <c r="Y44" s="190"/>
    </row>
    <row r="45" spans="1:32" ht="24.95" customHeight="1">
      <c r="A45" s="5">
        <v>9</v>
      </c>
      <c r="B45" s="258" t="str">
        <f t="shared" si="8"/>
        <v/>
      </c>
      <c r="C45" s="54"/>
      <c r="D45" s="286"/>
      <c r="E45" s="54"/>
      <c r="F45" s="55"/>
      <c r="G45" s="55"/>
      <c r="H45" s="54"/>
      <c r="I45" s="54"/>
      <c r="J45" s="265" t="str">
        <f t="shared" si="7"/>
        <v/>
      </c>
      <c r="K45" s="56"/>
      <c r="L45" s="243"/>
      <c r="M45" s="246"/>
      <c r="N45" s="231"/>
      <c r="O45" s="254"/>
      <c r="P45" s="253" t="str">
        <f t="shared" si="0"/>
        <v/>
      </c>
      <c r="Q45" s="257">
        <f t="shared" si="2"/>
        <v>0</v>
      </c>
      <c r="R45" s="257">
        <f t="shared" si="1"/>
        <v>0</v>
      </c>
      <c r="S45" s="191"/>
      <c r="T45" s="190"/>
      <c r="U45" s="191"/>
      <c r="V45" s="191"/>
      <c r="W45" s="191"/>
      <c r="X45" s="191"/>
      <c r="Y45" s="190"/>
    </row>
    <row r="46" spans="1:32" ht="24.95" customHeight="1">
      <c r="A46" s="5">
        <v>10</v>
      </c>
      <c r="B46" s="258" t="str">
        <f t="shared" si="8"/>
        <v/>
      </c>
      <c r="C46" s="54"/>
      <c r="D46" s="286"/>
      <c r="E46" s="54"/>
      <c r="F46" s="55"/>
      <c r="G46" s="55"/>
      <c r="H46" s="54"/>
      <c r="I46" s="54"/>
      <c r="J46" s="265" t="str">
        <f t="shared" si="7"/>
        <v/>
      </c>
      <c r="K46" s="56"/>
      <c r="L46" s="243"/>
      <c r="M46" s="246"/>
      <c r="N46" s="231"/>
      <c r="O46" s="254"/>
      <c r="P46" s="253" t="str">
        <f t="shared" si="0"/>
        <v/>
      </c>
      <c r="Q46" s="257">
        <f t="shared" si="2"/>
        <v>0</v>
      </c>
      <c r="R46" s="257">
        <f t="shared" si="1"/>
        <v>0</v>
      </c>
      <c r="S46" s="191"/>
      <c r="T46" s="190"/>
      <c r="U46" s="191"/>
      <c r="V46" s="191"/>
      <c r="W46" s="191"/>
      <c r="X46" s="191"/>
      <c r="Y46" s="190"/>
    </row>
    <row r="47" spans="1:32" ht="24.95" customHeight="1">
      <c r="A47" s="5">
        <v>11</v>
      </c>
      <c r="B47" s="258" t="str">
        <f t="shared" si="8"/>
        <v/>
      </c>
      <c r="C47" s="54"/>
      <c r="D47" s="286"/>
      <c r="E47" s="54"/>
      <c r="F47" s="55"/>
      <c r="G47" s="55"/>
      <c r="H47" s="54"/>
      <c r="I47" s="54"/>
      <c r="J47" s="265" t="str">
        <f t="shared" si="7"/>
        <v/>
      </c>
      <c r="K47" s="56"/>
      <c r="L47" s="243"/>
      <c r="M47" s="246"/>
      <c r="N47" s="231"/>
      <c r="O47" s="254"/>
      <c r="P47" s="253" t="str">
        <f t="shared" si="0"/>
        <v/>
      </c>
      <c r="Q47" s="257">
        <f t="shared" si="2"/>
        <v>0</v>
      </c>
      <c r="R47" s="257">
        <f t="shared" si="1"/>
        <v>0</v>
      </c>
      <c r="S47" s="191"/>
      <c r="T47" s="190"/>
      <c r="U47" s="191"/>
      <c r="V47" s="191"/>
      <c r="W47" s="191"/>
      <c r="X47" s="191"/>
      <c r="Y47" s="190"/>
    </row>
    <row r="48" spans="1:32" ht="24.95" customHeight="1">
      <c r="A48" s="5">
        <v>12</v>
      </c>
      <c r="B48" s="258" t="str">
        <f t="shared" si="8"/>
        <v/>
      </c>
      <c r="C48" s="54"/>
      <c r="D48" s="65"/>
      <c r="E48" s="54"/>
      <c r="F48" s="55"/>
      <c r="G48" s="55"/>
      <c r="H48" s="54"/>
      <c r="I48" s="54"/>
      <c r="J48" s="60" t="str">
        <f t="shared" ref="J48:J58" si="9">IF(I48="","",IF(I48&lt;$AA$9,"非常勤","常勤"))</f>
        <v/>
      </c>
      <c r="K48" s="56"/>
      <c r="L48" s="243"/>
      <c r="M48" s="246"/>
      <c r="N48" s="231"/>
      <c r="O48" s="254"/>
      <c r="P48" s="253" t="str">
        <f t="shared" si="0"/>
        <v/>
      </c>
      <c r="Q48" s="257">
        <f t="shared" si="2"/>
        <v>0</v>
      </c>
      <c r="R48" s="257">
        <f t="shared" si="1"/>
        <v>0</v>
      </c>
      <c r="S48" s="191"/>
      <c r="T48" s="190"/>
      <c r="U48" s="191"/>
      <c r="V48" s="191"/>
      <c r="W48" s="191"/>
      <c r="X48" s="191"/>
      <c r="Y48" s="190"/>
    </row>
    <row r="49" spans="1:25" ht="24.95" customHeight="1">
      <c r="A49" s="5">
        <v>13</v>
      </c>
      <c r="B49" s="258" t="str">
        <f t="shared" si="8"/>
        <v/>
      </c>
      <c r="C49" s="54"/>
      <c r="D49" s="65"/>
      <c r="E49" s="54"/>
      <c r="F49" s="55"/>
      <c r="G49" s="55"/>
      <c r="H49" s="54"/>
      <c r="I49" s="54"/>
      <c r="J49" s="60" t="str">
        <f t="shared" si="9"/>
        <v/>
      </c>
      <c r="K49" s="56"/>
      <c r="L49" s="243"/>
      <c r="M49" s="246"/>
      <c r="N49" s="231"/>
      <c r="O49" s="254"/>
      <c r="P49" s="253" t="str">
        <f t="shared" si="0"/>
        <v/>
      </c>
      <c r="Q49" s="257">
        <f t="shared" si="2"/>
        <v>0</v>
      </c>
      <c r="R49" s="257">
        <f t="shared" si="1"/>
        <v>0</v>
      </c>
      <c r="S49" s="191"/>
      <c r="T49" s="190"/>
      <c r="U49" s="191"/>
      <c r="V49" s="191"/>
      <c r="W49" s="191"/>
      <c r="X49" s="191"/>
      <c r="Y49" s="190"/>
    </row>
    <row r="50" spans="1:25" ht="24.95" customHeight="1">
      <c r="A50" s="5">
        <v>14</v>
      </c>
      <c r="B50" s="258" t="str">
        <f t="shared" si="8"/>
        <v/>
      </c>
      <c r="C50" s="54"/>
      <c r="D50" s="65"/>
      <c r="E50" s="54"/>
      <c r="F50" s="55"/>
      <c r="G50" s="55"/>
      <c r="H50" s="54"/>
      <c r="I50" s="54"/>
      <c r="J50" s="60" t="str">
        <f t="shared" si="9"/>
        <v/>
      </c>
      <c r="K50" s="56"/>
      <c r="L50" s="243"/>
      <c r="M50" s="246"/>
      <c r="N50" s="231"/>
      <c r="O50" s="254"/>
      <c r="P50" s="253" t="str">
        <f t="shared" si="0"/>
        <v/>
      </c>
      <c r="Q50" s="257">
        <f t="shared" si="2"/>
        <v>0</v>
      </c>
      <c r="R50" s="257">
        <f t="shared" si="1"/>
        <v>0</v>
      </c>
      <c r="S50" s="191"/>
      <c r="T50" s="190"/>
      <c r="U50" s="191"/>
      <c r="V50" s="191"/>
      <c r="W50" s="191"/>
      <c r="X50" s="191"/>
      <c r="Y50" s="190"/>
    </row>
    <row r="51" spans="1:25" ht="24.95" customHeight="1">
      <c r="A51" s="5">
        <v>15</v>
      </c>
      <c r="B51" s="258" t="str">
        <f t="shared" si="8"/>
        <v/>
      </c>
      <c r="C51" s="54"/>
      <c r="D51" s="65"/>
      <c r="E51" s="54"/>
      <c r="F51" s="55"/>
      <c r="G51" s="55"/>
      <c r="H51" s="54"/>
      <c r="I51" s="54"/>
      <c r="J51" s="60" t="str">
        <f t="shared" si="9"/>
        <v/>
      </c>
      <c r="K51" s="56"/>
      <c r="L51" s="243"/>
      <c r="M51" s="246"/>
      <c r="N51" s="231"/>
      <c r="O51" s="254"/>
      <c r="P51" s="253" t="str">
        <f t="shared" si="0"/>
        <v/>
      </c>
      <c r="Q51" s="257">
        <f t="shared" si="2"/>
        <v>0</v>
      </c>
      <c r="R51" s="257">
        <f t="shared" si="1"/>
        <v>0</v>
      </c>
      <c r="S51" s="191"/>
      <c r="T51" s="190"/>
      <c r="U51" s="191"/>
      <c r="V51" s="191"/>
      <c r="W51" s="191"/>
      <c r="X51" s="191"/>
      <c r="Y51" s="190"/>
    </row>
    <row r="52" spans="1:25" ht="24.95" customHeight="1">
      <c r="A52" s="5">
        <v>16</v>
      </c>
      <c r="B52" s="258" t="str">
        <f t="shared" si="8"/>
        <v/>
      </c>
      <c r="C52" s="54"/>
      <c r="D52" s="65"/>
      <c r="E52" s="54"/>
      <c r="F52" s="55"/>
      <c r="G52" s="55"/>
      <c r="H52" s="54"/>
      <c r="I52" s="54"/>
      <c r="J52" s="60" t="str">
        <f t="shared" si="9"/>
        <v/>
      </c>
      <c r="K52" s="56"/>
      <c r="L52" s="243"/>
      <c r="M52" s="246"/>
      <c r="N52" s="231"/>
      <c r="O52" s="254"/>
      <c r="P52" s="253" t="str">
        <f t="shared" si="0"/>
        <v/>
      </c>
      <c r="Q52" s="257">
        <f t="shared" si="2"/>
        <v>0</v>
      </c>
      <c r="R52" s="257">
        <f t="shared" si="1"/>
        <v>0</v>
      </c>
      <c r="S52" s="191"/>
      <c r="T52" s="190"/>
      <c r="U52" s="191"/>
      <c r="V52" s="191"/>
      <c r="W52" s="191"/>
      <c r="X52" s="191"/>
      <c r="Y52" s="190"/>
    </row>
    <row r="53" spans="1:25" ht="24.95" customHeight="1">
      <c r="A53" s="5">
        <v>17</v>
      </c>
      <c r="B53" s="258" t="str">
        <f t="shared" si="8"/>
        <v/>
      </c>
      <c r="C53" s="54"/>
      <c r="D53" s="65"/>
      <c r="E53" s="54"/>
      <c r="F53" s="55"/>
      <c r="G53" s="55"/>
      <c r="H53" s="54"/>
      <c r="I53" s="54"/>
      <c r="J53" s="60" t="str">
        <f t="shared" si="9"/>
        <v/>
      </c>
      <c r="K53" s="56"/>
      <c r="L53" s="243"/>
      <c r="M53" s="246"/>
      <c r="N53" s="231"/>
      <c r="O53" s="254"/>
      <c r="P53" s="253" t="str">
        <f t="shared" si="0"/>
        <v/>
      </c>
      <c r="Q53" s="257">
        <f t="shared" si="2"/>
        <v>0</v>
      </c>
      <c r="R53" s="257">
        <f t="shared" si="1"/>
        <v>0</v>
      </c>
      <c r="S53" s="191"/>
      <c r="T53" s="190"/>
      <c r="U53" s="191"/>
      <c r="V53" s="191"/>
      <c r="W53" s="191"/>
      <c r="X53" s="191"/>
      <c r="Y53" s="190"/>
    </row>
    <row r="54" spans="1:25" ht="24.95" customHeight="1">
      <c r="A54" s="5">
        <v>18</v>
      </c>
      <c r="B54" s="258" t="str">
        <f t="shared" si="8"/>
        <v/>
      </c>
      <c r="C54" s="54"/>
      <c r="D54" s="65"/>
      <c r="E54" s="54"/>
      <c r="F54" s="55"/>
      <c r="G54" s="55"/>
      <c r="H54" s="54"/>
      <c r="I54" s="54"/>
      <c r="J54" s="60" t="str">
        <f t="shared" si="9"/>
        <v/>
      </c>
      <c r="K54" s="56"/>
      <c r="L54" s="243"/>
      <c r="M54" s="246"/>
      <c r="N54" s="231"/>
      <c r="O54" s="254"/>
      <c r="P54" s="253" t="str">
        <f t="shared" si="0"/>
        <v/>
      </c>
      <c r="Q54" s="257">
        <f t="shared" si="2"/>
        <v>0</v>
      </c>
      <c r="R54" s="257">
        <f t="shared" si="1"/>
        <v>0</v>
      </c>
      <c r="S54" s="191"/>
      <c r="T54" s="190"/>
      <c r="U54" s="191"/>
      <c r="V54" s="191"/>
      <c r="W54" s="191"/>
      <c r="X54" s="191"/>
      <c r="Y54" s="190"/>
    </row>
    <row r="55" spans="1:25" ht="24.95" customHeight="1">
      <c r="A55" s="5">
        <v>19</v>
      </c>
      <c r="B55" s="258" t="str">
        <f t="shared" si="8"/>
        <v/>
      </c>
      <c r="C55" s="54"/>
      <c r="D55" s="65"/>
      <c r="E55" s="54"/>
      <c r="F55" s="55"/>
      <c r="G55" s="55"/>
      <c r="H55" s="54"/>
      <c r="I55" s="54"/>
      <c r="J55" s="60" t="str">
        <f t="shared" si="9"/>
        <v/>
      </c>
      <c r="K55" s="56"/>
      <c r="L55" s="243"/>
      <c r="M55" s="246"/>
      <c r="N55" s="231"/>
      <c r="O55" s="254"/>
      <c r="P55" s="253" t="str">
        <f t="shared" si="0"/>
        <v/>
      </c>
      <c r="Q55" s="257">
        <f t="shared" si="2"/>
        <v>0</v>
      </c>
      <c r="R55" s="257">
        <f t="shared" si="1"/>
        <v>0</v>
      </c>
      <c r="S55" s="191"/>
      <c r="T55" s="190"/>
      <c r="U55" s="191"/>
      <c r="V55" s="191"/>
      <c r="W55" s="191"/>
      <c r="X55" s="191"/>
      <c r="Y55" s="190"/>
    </row>
    <row r="56" spans="1:25" ht="24.95" customHeight="1">
      <c r="A56" s="5">
        <v>20</v>
      </c>
      <c r="B56" s="258" t="str">
        <f t="shared" si="8"/>
        <v/>
      </c>
      <c r="C56" s="54"/>
      <c r="D56" s="65"/>
      <c r="E56" s="54"/>
      <c r="F56" s="55"/>
      <c r="G56" s="55"/>
      <c r="H56" s="54"/>
      <c r="I56" s="54"/>
      <c r="J56" s="60" t="str">
        <f t="shared" si="9"/>
        <v/>
      </c>
      <c r="K56" s="56"/>
      <c r="L56" s="243"/>
      <c r="M56" s="246"/>
      <c r="N56" s="231"/>
      <c r="O56" s="254"/>
      <c r="P56" s="253" t="str">
        <f t="shared" si="0"/>
        <v/>
      </c>
      <c r="Q56" s="257">
        <f t="shared" si="2"/>
        <v>0</v>
      </c>
      <c r="R56" s="257">
        <f t="shared" si="1"/>
        <v>0</v>
      </c>
      <c r="S56" s="191"/>
      <c r="T56" s="190"/>
      <c r="U56" s="191"/>
      <c r="V56" s="191"/>
      <c r="W56" s="191"/>
      <c r="X56" s="191"/>
      <c r="Y56" s="190"/>
    </row>
    <row r="57" spans="1:25" ht="24.95" customHeight="1">
      <c r="A57" s="5">
        <v>21</v>
      </c>
      <c r="B57" s="258" t="str">
        <f t="shared" si="8"/>
        <v/>
      </c>
      <c r="C57" s="54"/>
      <c r="D57" s="65"/>
      <c r="E57" s="54"/>
      <c r="F57" s="55"/>
      <c r="G57" s="55"/>
      <c r="H57" s="54"/>
      <c r="I57" s="54"/>
      <c r="J57" s="60" t="str">
        <f t="shared" si="9"/>
        <v/>
      </c>
      <c r="K57" s="56"/>
      <c r="L57" s="243"/>
      <c r="M57" s="246"/>
      <c r="N57" s="231"/>
      <c r="O57" s="254"/>
      <c r="P57" s="253" t="str">
        <f t="shared" si="0"/>
        <v/>
      </c>
      <c r="Q57" s="257">
        <f t="shared" si="2"/>
        <v>0</v>
      </c>
      <c r="R57" s="257">
        <f t="shared" si="1"/>
        <v>0</v>
      </c>
      <c r="S57" s="191"/>
      <c r="T57" s="190"/>
      <c r="U57" s="191"/>
      <c r="V57" s="191"/>
      <c r="W57" s="191"/>
      <c r="X57" s="191"/>
      <c r="Y57" s="190"/>
    </row>
    <row r="58" spans="1:25" ht="24.95" customHeight="1">
      <c r="A58" s="5">
        <v>22</v>
      </c>
      <c r="B58" s="258" t="str">
        <f t="shared" si="8"/>
        <v/>
      </c>
      <c r="C58" s="54"/>
      <c r="D58" s="65"/>
      <c r="E58" s="54"/>
      <c r="F58" s="55"/>
      <c r="G58" s="55"/>
      <c r="H58" s="54"/>
      <c r="I58" s="54"/>
      <c r="J58" s="60" t="str">
        <f t="shared" si="9"/>
        <v/>
      </c>
      <c r="K58" s="56"/>
      <c r="L58" s="243"/>
      <c r="M58" s="246"/>
      <c r="N58" s="231"/>
      <c r="O58" s="254"/>
      <c r="P58" s="253" t="str">
        <f t="shared" si="0"/>
        <v/>
      </c>
      <c r="Q58" s="257">
        <f t="shared" si="2"/>
        <v>0</v>
      </c>
      <c r="R58" s="257">
        <f t="shared" si="1"/>
        <v>0</v>
      </c>
      <c r="S58" s="191"/>
      <c r="T58" s="190"/>
      <c r="U58" s="191"/>
      <c r="V58" s="191"/>
      <c r="W58" s="191"/>
      <c r="X58" s="191"/>
      <c r="Y58" s="190"/>
    </row>
    <row r="59" spans="1:25" ht="24.95" customHeight="1">
      <c r="A59" s="5">
        <v>23</v>
      </c>
      <c r="B59" s="258" t="str">
        <f t="shared" si="8"/>
        <v/>
      </c>
      <c r="C59" s="54"/>
      <c r="D59" s="65"/>
      <c r="E59" s="54"/>
      <c r="F59" s="55"/>
      <c r="G59" s="55"/>
      <c r="H59" s="54"/>
      <c r="I59" s="54"/>
      <c r="J59" s="60" t="str">
        <f t="shared" si="7"/>
        <v/>
      </c>
      <c r="K59" s="56"/>
      <c r="L59" s="243"/>
      <c r="M59" s="246"/>
      <c r="N59" s="231"/>
      <c r="O59" s="254"/>
      <c r="P59" s="253" t="str">
        <f t="shared" si="0"/>
        <v/>
      </c>
      <c r="Q59" s="257">
        <f t="shared" si="2"/>
        <v>0</v>
      </c>
      <c r="R59" s="257">
        <f t="shared" si="1"/>
        <v>0</v>
      </c>
      <c r="S59" s="191"/>
      <c r="T59" s="190"/>
      <c r="U59" s="191"/>
      <c r="V59" s="191"/>
      <c r="W59" s="191"/>
      <c r="X59" s="191"/>
      <c r="Y59" s="190"/>
    </row>
    <row r="60" spans="1:25" ht="24.95" customHeight="1">
      <c r="A60" s="5">
        <v>24</v>
      </c>
      <c r="B60" s="258" t="str">
        <f t="shared" si="8"/>
        <v/>
      </c>
      <c r="C60" s="54"/>
      <c r="D60" s="286"/>
      <c r="E60" s="54"/>
      <c r="F60" s="55"/>
      <c r="G60" s="55"/>
      <c r="H60" s="54"/>
      <c r="I60" s="54"/>
      <c r="J60" s="60" t="str">
        <f t="shared" si="7"/>
        <v/>
      </c>
      <c r="K60" s="56"/>
      <c r="L60" s="243"/>
      <c r="M60" s="246"/>
      <c r="N60" s="231"/>
      <c r="O60" s="254"/>
      <c r="P60" s="253" t="str">
        <f t="shared" si="0"/>
        <v/>
      </c>
      <c r="Q60" s="257">
        <f t="shared" si="2"/>
        <v>0</v>
      </c>
      <c r="R60" s="257">
        <f t="shared" si="1"/>
        <v>0</v>
      </c>
      <c r="S60" s="191"/>
      <c r="T60" s="190"/>
      <c r="U60" s="191"/>
      <c r="V60" s="191"/>
      <c r="W60" s="191"/>
      <c r="X60" s="191"/>
      <c r="Y60" s="190"/>
    </row>
    <row r="61" spans="1:25" ht="24.95" customHeight="1">
      <c r="A61" s="5">
        <v>25</v>
      </c>
      <c r="B61" s="258" t="str">
        <f t="shared" si="8"/>
        <v/>
      </c>
      <c r="C61" s="54"/>
      <c r="D61" s="286"/>
      <c r="E61" s="54"/>
      <c r="F61" s="55"/>
      <c r="G61" s="55"/>
      <c r="H61" s="54"/>
      <c r="I61" s="54"/>
      <c r="J61" s="60" t="str">
        <f t="shared" si="7"/>
        <v/>
      </c>
      <c r="K61" s="56"/>
      <c r="L61" s="243"/>
      <c r="M61" s="246"/>
      <c r="N61" s="231"/>
      <c r="O61" s="254"/>
      <c r="P61" s="253" t="str">
        <f t="shared" si="0"/>
        <v/>
      </c>
      <c r="Q61" s="257">
        <f t="shared" si="2"/>
        <v>0</v>
      </c>
      <c r="R61" s="257">
        <f t="shared" si="1"/>
        <v>0</v>
      </c>
      <c r="S61" s="191"/>
      <c r="T61" s="190"/>
      <c r="U61" s="191"/>
      <c r="V61" s="191"/>
      <c r="W61" s="191"/>
      <c r="X61" s="191"/>
      <c r="Y61" s="190"/>
    </row>
    <row r="62" spans="1:25" ht="24.95" customHeight="1">
      <c r="A62" s="5">
        <v>26</v>
      </c>
      <c r="B62" s="258" t="str">
        <f t="shared" si="8"/>
        <v/>
      </c>
      <c r="C62" s="54"/>
      <c r="D62" s="286"/>
      <c r="E62" s="54"/>
      <c r="F62" s="55"/>
      <c r="G62" s="55"/>
      <c r="H62" s="54"/>
      <c r="I62" s="54"/>
      <c r="J62" s="60" t="str">
        <f t="shared" si="7"/>
        <v/>
      </c>
      <c r="K62" s="56"/>
      <c r="L62" s="243"/>
      <c r="M62" s="246"/>
      <c r="N62" s="231"/>
      <c r="O62" s="254"/>
      <c r="P62" s="253" t="str">
        <f t="shared" si="0"/>
        <v/>
      </c>
      <c r="Q62" s="257">
        <f t="shared" si="2"/>
        <v>0</v>
      </c>
      <c r="R62" s="257">
        <f t="shared" si="1"/>
        <v>0</v>
      </c>
      <c r="S62" s="191"/>
      <c r="T62" s="190"/>
      <c r="U62" s="191"/>
      <c r="V62" s="191"/>
      <c r="W62" s="191"/>
      <c r="X62" s="191"/>
      <c r="Y62" s="190"/>
    </row>
    <row r="63" spans="1:25" ht="24.95" customHeight="1">
      <c r="A63" s="5">
        <v>27</v>
      </c>
      <c r="B63" s="258" t="str">
        <f t="shared" si="8"/>
        <v/>
      </c>
      <c r="C63" s="54"/>
      <c r="D63" s="286"/>
      <c r="E63" s="54"/>
      <c r="F63" s="55"/>
      <c r="G63" s="55"/>
      <c r="H63" s="54"/>
      <c r="I63" s="54"/>
      <c r="J63" s="60" t="str">
        <f t="shared" si="7"/>
        <v/>
      </c>
      <c r="K63" s="56"/>
      <c r="L63" s="243"/>
      <c r="M63" s="246"/>
      <c r="N63" s="231"/>
      <c r="O63" s="254"/>
      <c r="P63" s="253" t="str">
        <f t="shared" si="0"/>
        <v/>
      </c>
      <c r="Q63" s="257">
        <f t="shared" si="2"/>
        <v>0</v>
      </c>
      <c r="R63" s="257">
        <f t="shared" si="1"/>
        <v>0</v>
      </c>
      <c r="S63" s="191"/>
      <c r="T63" s="190"/>
      <c r="U63" s="191"/>
      <c r="V63" s="191"/>
      <c r="W63" s="191"/>
      <c r="X63" s="191"/>
      <c r="Y63" s="190"/>
    </row>
    <row r="64" spans="1:25" ht="24.95" customHeight="1">
      <c r="A64" s="5">
        <v>28</v>
      </c>
      <c r="B64" s="258" t="str">
        <f t="shared" si="8"/>
        <v/>
      </c>
      <c r="C64" s="54"/>
      <c r="D64" s="286"/>
      <c r="E64" s="54"/>
      <c r="F64" s="55"/>
      <c r="G64" s="55"/>
      <c r="H64" s="54"/>
      <c r="I64" s="54"/>
      <c r="J64" s="60" t="str">
        <f t="shared" si="7"/>
        <v/>
      </c>
      <c r="K64" s="56"/>
      <c r="L64" s="243"/>
      <c r="M64" s="246"/>
      <c r="N64" s="231"/>
      <c r="O64" s="254"/>
      <c r="P64" s="253" t="str">
        <f t="shared" si="0"/>
        <v/>
      </c>
      <c r="Q64" s="257">
        <f t="shared" si="2"/>
        <v>0</v>
      </c>
      <c r="R64" s="257">
        <f t="shared" si="1"/>
        <v>0</v>
      </c>
      <c r="S64" s="191"/>
      <c r="T64" s="190"/>
      <c r="U64" s="191"/>
      <c r="V64" s="191"/>
      <c r="W64" s="191"/>
      <c r="X64" s="191"/>
      <c r="Y64" s="190"/>
    </row>
    <row r="65" spans="1:25" ht="24.95" customHeight="1">
      <c r="A65" s="5">
        <v>29</v>
      </c>
      <c r="B65" s="258" t="str">
        <f t="shared" si="8"/>
        <v/>
      </c>
      <c r="C65" s="54"/>
      <c r="D65" s="286"/>
      <c r="E65" s="54"/>
      <c r="F65" s="55"/>
      <c r="G65" s="55"/>
      <c r="H65" s="54"/>
      <c r="I65" s="54"/>
      <c r="J65" s="60" t="str">
        <f t="shared" si="7"/>
        <v/>
      </c>
      <c r="K65" s="56"/>
      <c r="L65" s="243"/>
      <c r="M65" s="246"/>
      <c r="N65" s="231"/>
      <c r="O65" s="254"/>
      <c r="P65" s="253" t="str">
        <f t="shared" si="0"/>
        <v/>
      </c>
      <c r="Q65" s="257">
        <f t="shared" si="2"/>
        <v>0</v>
      </c>
      <c r="R65" s="257">
        <f t="shared" si="1"/>
        <v>0</v>
      </c>
      <c r="S65" s="191"/>
      <c r="T65" s="190"/>
      <c r="U65" s="191"/>
      <c r="V65" s="191"/>
      <c r="W65" s="191"/>
      <c r="X65" s="191"/>
      <c r="Y65" s="190"/>
    </row>
    <row r="66" spans="1:25" ht="24.95" customHeight="1">
      <c r="A66" s="5">
        <v>30</v>
      </c>
      <c r="B66" s="258" t="str">
        <f t="shared" si="8"/>
        <v/>
      </c>
      <c r="C66" s="54"/>
      <c r="D66" s="286"/>
      <c r="E66" s="54"/>
      <c r="F66" s="55"/>
      <c r="G66" s="55"/>
      <c r="H66" s="54"/>
      <c r="I66" s="54"/>
      <c r="J66" s="60" t="str">
        <f t="shared" si="7"/>
        <v/>
      </c>
      <c r="K66" s="56"/>
      <c r="L66" s="243"/>
      <c r="M66" s="246"/>
      <c r="N66" s="231"/>
      <c r="O66" s="254"/>
      <c r="P66" s="253" t="str">
        <f t="shared" si="0"/>
        <v/>
      </c>
      <c r="Q66" s="257">
        <f t="shared" si="2"/>
        <v>0</v>
      </c>
      <c r="R66" s="257">
        <f t="shared" si="1"/>
        <v>0</v>
      </c>
      <c r="S66" s="191"/>
      <c r="T66" s="190"/>
      <c r="U66" s="191"/>
      <c r="V66" s="191"/>
      <c r="W66" s="191"/>
      <c r="X66" s="191"/>
      <c r="Y66" s="190"/>
    </row>
    <row r="67" spans="1:25" ht="24.95" customHeight="1">
      <c r="A67" s="5">
        <v>31</v>
      </c>
      <c r="B67" s="258" t="str">
        <f t="shared" si="8"/>
        <v/>
      </c>
      <c r="C67" s="54"/>
      <c r="D67" s="286"/>
      <c r="E67" s="54"/>
      <c r="F67" s="55"/>
      <c r="G67" s="55"/>
      <c r="H67" s="54"/>
      <c r="I67" s="54"/>
      <c r="J67" s="60" t="str">
        <f t="shared" si="7"/>
        <v/>
      </c>
      <c r="K67" s="56"/>
      <c r="L67" s="243"/>
      <c r="M67" s="246"/>
      <c r="N67" s="231"/>
      <c r="O67" s="254"/>
      <c r="P67" s="253" t="str">
        <f t="shared" si="0"/>
        <v/>
      </c>
      <c r="Q67" s="257">
        <f t="shared" si="2"/>
        <v>0</v>
      </c>
      <c r="R67" s="257">
        <f t="shared" si="1"/>
        <v>0</v>
      </c>
      <c r="S67" s="191"/>
      <c r="T67" s="190"/>
      <c r="U67" s="191"/>
      <c r="V67" s="191"/>
      <c r="W67" s="191"/>
      <c r="X67" s="191"/>
      <c r="Y67" s="190"/>
    </row>
    <row r="68" spans="1:25" ht="24.95" customHeight="1">
      <c r="A68" s="5">
        <v>32</v>
      </c>
      <c r="B68" s="258" t="str">
        <f t="shared" si="8"/>
        <v/>
      </c>
      <c r="C68" s="54"/>
      <c r="D68" s="286"/>
      <c r="E68" s="54"/>
      <c r="F68" s="55"/>
      <c r="G68" s="55"/>
      <c r="H68" s="54"/>
      <c r="I68" s="54"/>
      <c r="J68" s="60" t="str">
        <f t="shared" si="7"/>
        <v/>
      </c>
      <c r="K68" s="56"/>
      <c r="L68" s="243"/>
      <c r="M68" s="246"/>
      <c r="N68" s="231"/>
      <c r="O68" s="254"/>
      <c r="P68" s="253" t="str">
        <f t="shared" si="0"/>
        <v/>
      </c>
      <c r="Q68" s="257">
        <f t="shared" si="2"/>
        <v>0</v>
      </c>
      <c r="R68" s="257">
        <f t="shared" si="1"/>
        <v>0</v>
      </c>
      <c r="S68" s="191"/>
      <c r="T68" s="190"/>
      <c r="U68" s="191"/>
      <c r="V68" s="191"/>
      <c r="W68" s="191"/>
      <c r="X68" s="191"/>
      <c r="Y68" s="190"/>
    </row>
    <row r="69" spans="1:25" ht="24.95" customHeight="1">
      <c r="A69" s="5">
        <v>33</v>
      </c>
      <c r="B69" s="258" t="str">
        <f t="shared" si="8"/>
        <v/>
      </c>
      <c r="C69" s="54"/>
      <c r="D69" s="286"/>
      <c r="E69" s="54"/>
      <c r="F69" s="55"/>
      <c r="G69" s="55"/>
      <c r="H69" s="54"/>
      <c r="I69" s="54"/>
      <c r="J69" s="60" t="str">
        <f t="shared" si="7"/>
        <v/>
      </c>
      <c r="K69" s="56"/>
      <c r="L69" s="243"/>
      <c r="M69" s="246"/>
      <c r="N69" s="231"/>
      <c r="O69" s="254"/>
      <c r="P69" s="253" t="str">
        <f t="shared" si="0"/>
        <v/>
      </c>
      <c r="Q69" s="257">
        <f t="shared" si="2"/>
        <v>0</v>
      </c>
      <c r="R69" s="257">
        <f t="shared" si="1"/>
        <v>0</v>
      </c>
      <c r="S69" s="191"/>
      <c r="T69" s="190"/>
      <c r="U69" s="191"/>
      <c r="V69" s="191"/>
      <c r="W69" s="191"/>
      <c r="X69" s="191"/>
      <c r="Y69" s="190"/>
    </row>
    <row r="70" spans="1:25" ht="24.95" customHeight="1">
      <c r="A70" s="5">
        <v>34</v>
      </c>
      <c r="B70" s="258" t="str">
        <f t="shared" si="8"/>
        <v/>
      </c>
      <c r="C70" s="54"/>
      <c r="D70" s="286"/>
      <c r="E70" s="54"/>
      <c r="F70" s="55"/>
      <c r="G70" s="55"/>
      <c r="H70" s="54"/>
      <c r="I70" s="54"/>
      <c r="J70" s="60" t="str">
        <f t="shared" si="7"/>
        <v/>
      </c>
      <c r="K70" s="56"/>
      <c r="L70" s="243"/>
      <c r="M70" s="246"/>
      <c r="N70" s="231"/>
      <c r="O70" s="254"/>
      <c r="P70" s="253" t="str">
        <f t="shared" si="0"/>
        <v/>
      </c>
      <c r="Q70" s="257">
        <f t="shared" si="2"/>
        <v>0</v>
      </c>
      <c r="R70" s="257">
        <f t="shared" si="1"/>
        <v>0</v>
      </c>
      <c r="S70" s="191"/>
      <c r="T70" s="190"/>
      <c r="U70" s="191"/>
      <c r="V70" s="191"/>
      <c r="W70" s="191"/>
      <c r="X70" s="191"/>
      <c r="Y70" s="190"/>
    </row>
    <row r="71" spans="1:25" ht="24.95" customHeight="1">
      <c r="A71" s="5">
        <v>35</v>
      </c>
      <c r="B71" s="258" t="str">
        <f t="shared" si="8"/>
        <v/>
      </c>
      <c r="C71" s="54"/>
      <c r="D71" s="286"/>
      <c r="E71" s="54"/>
      <c r="F71" s="55"/>
      <c r="G71" s="55"/>
      <c r="H71" s="54"/>
      <c r="I71" s="54"/>
      <c r="J71" s="60" t="str">
        <f t="shared" si="7"/>
        <v/>
      </c>
      <c r="K71" s="56"/>
      <c r="L71" s="243"/>
      <c r="M71" s="246"/>
      <c r="N71" s="231"/>
      <c r="O71" s="254"/>
      <c r="P71" s="253" t="str">
        <f t="shared" si="0"/>
        <v/>
      </c>
      <c r="Q71" s="257">
        <f t="shared" si="2"/>
        <v>0</v>
      </c>
      <c r="R71" s="257">
        <f t="shared" si="1"/>
        <v>0</v>
      </c>
      <c r="S71" s="191"/>
      <c r="T71" s="190"/>
      <c r="U71" s="191"/>
      <c r="V71" s="191"/>
      <c r="W71" s="191"/>
      <c r="X71" s="191"/>
      <c r="Y71" s="190"/>
    </row>
    <row r="72" spans="1:25" ht="24.95" customHeight="1">
      <c r="A72" s="5">
        <v>36</v>
      </c>
      <c r="B72" s="258" t="str">
        <f t="shared" si="8"/>
        <v/>
      </c>
      <c r="C72" s="54"/>
      <c r="D72" s="286"/>
      <c r="E72" s="54"/>
      <c r="F72" s="55"/>
      <c r="G72" s="55"/>
      <c r="H72" s="54"/>
      <c r="I72" s="54"/>
      <c r="J72" s="60" t="str">
        <f t="shared" si="7"/>
        <v/>
      </c>
      <c r="K72" s="56"/>
      <c r="L72" s="243"/>
      <c r="M72" s="246"/>
      <c r="N72" s="231"/>
      <c r="O72" s="254"/>
      <c r="P72" s="253" t="str">
        <f t="shared" si="0"/>
        <v/>
      </c>
      <c r="Q72" s="257">
        <f t="shared" si="2"/>
        <v>0</v>
      </c>
      <c r="R72" s="257">
        <f t="shared" si="1"/>
        <v>0</v>
      </c>
      <c r="S72" s="191"/>
      <c r="T72" s="190"/>
      <c r="U72" s="191"/>
      <c r="V72" s="191"/>
      <c r="W72" s="191"/>
      <c r="X72" s="191"/>
      <c r="Y72" s="190"/>
    </row>
    <row r="73" spans="1:25" ht="24.95" customHeight="1">
      <c r="A73" s="5">
        <v>37</v>
      </c>
      <c r="B73" s="258" t="str">
        <f t="shared" si="8"/>
        <v/>
      </c>
      <c r="C73" s="54"/>
      <c r="D73" s="286"/>
      <c r="E73" s="54"/>
      <c r="F73" s="55"/>
      <c r="G73" s="55"/>
      <c r="H73" s="54"/>
      <c r="I73" s="54"/>
      <c r="J73" s="60" t="str">
        <f t="shared" si="7"/>
        <v/>
      </c>
      <c r="K73" s="56"/>
      <c r="L73" s="243"/>
      <c r="M73" s="246"/>
      <c r="N73" s="231"/>
      <c r="O73" s="254"/>
      <c r="P73" s="253" t="str">
        <f t="shared" si="0"/>
        <v/>
      </c>
      <c r="Q73" s="257">
        <f t="shared" si="2"/>
        <v>0</v>
      </c>
      <c r="R73" s="257">
        <f t="shared" si="1"/>
        <v>0</v>
      </c>
      <c r="S73" s="191"/>
      <c r="T73" s="190"/>
      <c r="U73" s="191"/>
      <c r="V73" s="191"/>
      <c r="W73" s="191"/>
      <c r="X73" s="191"/>
      <c r="Y73" s="190"/>
    </row>
    <row r="74" spans="1:25" ht="24.95" customHeight="1">
      <c r="A74" s="5">
        <v>38</v>
      </c>
      <c r="B74" s="258" t="str">
        <f t="shared" si="8"/>
        <v/>
      </c>
      <c r="C74" s="54"/>
      <c r="D74" s="286"/>
      <c r="E74" s="54"/>
      <c r="F74" s="55"/>
      <c r="G74" s="55"/>
      <c r="H74" s="54"/>
      <c r="I74" s="54"/>
      <c r="J74" s="60" t="str">
        <f t="shared" si="7"/>
        <v/>
      </c>
      <c r="K74" s="56"/>
      <c r="L74" s="243"/>
      <c r="M74" s="246"/>
      <c r="N74" s="231"/>
      <c r="O74" s="254"/>
      <c r="P74" s="253" t="str">
        <f t="shared" si="0"/>
        <v/>
      </c>
      <c r="Q74" s="257">
        <f t="shared" si="2"/>
        <v>0</v>
      </c>
      <c r="R74" s="257">
        <f t="shared" si="1"/>
        <v>0</v>
      </c>
      <c r="S74" s="191"/>
      <c r="T74" s="190"/>
      <c r="U74" s="191"/>
      <c r="V74" s="191"/>
      <c r="W74" s="191"/>
      <c r="X74" s="191"/>
      <c r="Y74" s="190"/>
    </row>
    <row r="75" spans="1:25" ht="24.95" customHeight="1">
      <c r="A75" s="5">
        <v>39</v>
      </c>
      <c r="B75" s="258" t="str">
        <f t="shared" si="8"/>
        <v/>
      </c>
      <c r="C75" s="54"/>
      <c r="D75" s="286"/>
      <c r="E75" s="54"/>
      <c r="F75" s="55"/>
      <c r="G75" s="55"/>
      <c r="H75" s="54"/>
      <c r="I75" s="54"/>
      <c r="J75" s="60" t="str">
        <f t="shared" si="7"/>
        <v/>
      </c>
      <c r="K75" s="56"/>
      <c r="L75" s="243"/>
      <c r="M75" s="246"/>
      <c r="N75" s="231"/>
      <c r="O75" s="254"/>
      <c r="P75" s="253" t="str">
        <f t="shared" si="0"/>
        <v/>
      </c>
      <c r="Q75" s="257">
        <f t="shared" si="2"/>
        <v>0</v>
      </c>
      <c r="R75" s="257">
        <f t="shared" si="1"/>
        <v>0</v>
      </c>
      <c r="S75" s="191"/>
      <c r="T75" s="190"/>
      <c r="U75" s="191"/>
      <c r="V75" s="191"/>
      <c r="W75" s="191"/>
      <c r="X75" s="191"/>
      <c r="Y75" s="190"/>
    </row>
    <row r="76" spans="1:25" ht="24.95" customHeight="1">
      <c r="A76" s="5">
        <v>40</v>
      </c>
      <c r="B76" s="258" t="str">
        <f t="shared" si="8"/>
        <v/>
      </c>
      <c r="C76" s="54"/>
      <c r="D76" s="286"/>
      <c r="E76" s="54"/>
      <c r="F76" s="55"/>
      <c r="G76" s="55"/>
      <c r="H76" s="54"/>
      <c r="I76" s="54"/>
      <c r="J76" s="60" t="str">
        <f t="shared" si="7"/>
        <v/>
      </c>
      <c r="K76" s="56"/>
      <c r="L76" s="243"/>
      <c r="M76" s="246"/>
      <c r="N76" s="231"/>
      <c r="O76" s="254"/>
      <c r="P76" s="253" t="str">
        <f t="shared" ref="P76:P86" si="10">IF(M76="あり",IF((I76+O76)&lt;=$AA$9,"OK","NG"),"")</f>
        <v/>
      </c>
      <c r="Q76" s="257">
        <f t="shared" ref="Q76:Q86" si="11">COUNTA(F76:H76)</f>
        <v>0</v>
      </c>
      <c r="R76" s="257">
        <f t="shared" ref="R76:R86" si="12">IF(E76="",0,1)</f>
        <v>0</v>
      </c>
      <c r="S76" s="191"/>
      <c r="T76" s="190"/>
      <c r="U76" s="191"/>
      <c r="V76" s="191"/>
      <c r="W76" s="191"/>
      <c r="X76" s="191"/>
      <c r="Y76" s="190"/>
    </row>
    <row r="77" spans="1:25" ht="24.95" customHeight="1">
      <c r="A77" s="5">
        <v>41</v>
      </c>
      <c r="B77" s="258" t="str">
        <f t="shared" si="8"/>
        <v/>
      </c>
      <c r="C77" s="54"/>
      <c r="D77" s="286"/>
      <c r="E77" s="54"/>
      <c r="F77" s="55"/>
      <c r="G77" s="55"/>
      <c r="H77" s="54"/>
      <c r="I77" s="54"/>
      <c r="J77" s="60" t="str">
        <f t="shared" si="7"/>
        <v/>
      </c>
      <c r="K77" s="56"/>
      <c r="L77" s="243"/>
      <c r="M77" s="246"/>
      <c r="N77" s="231"/>
      <c r="O77" s="254"/>
      <c r="P77" s="253" t="str">
        <f t="shared" si="10"/>
        <v/>
      </c>
      <c r="Q77" s="257">
        <f t="shared" si="11"/>
        <v>0</v>
      </c>
      <c r="R77" s="257">
        <f t="shared" si="12"/>
        <v>0</v>
      </c>
      <c r="S77" s="191"/>
      <c r="T77" s="190"/>
      <c r="U77" s="191"/>
      <c r="V77" s="191"/>
      <c r="W77" s="191"/>
      <c r="X77" s="191"/>
      <c r="Y77" s="190"/>
    </row>
    <row r="78" spans="1:25" ht="24.95" customHeight="1">
      <c r="A78" s="5">
        <v>42</v>
      </c>
      <c r="B78" s="258" t="str">
        <f t="shared" si="8"/>
        <v/>
      </c>
      <c r="C78" s="54"/>
      <c r="D78" s="286"/>
      <c r="E78" s="54"/>
      <c r="F78" s="55"/>
      <c r="G78" s="55"/>
      <c r="H78" s="54"/>
      <c r="I78" s="54"/>
      <c r="J78" s="60" t="str">
        <f t="shared" si="7"/>
        <v/>
      </c>
      <c r="K78" s="56"/>
      <c r="L78" s="243"/>
      <c r="M78" s="246"/>
      <c r="N78" s="231"/>
      <c r="O78" s="254"/>
      <c r="P78" s="253" t="str">
        <f t="shared" si="10"/>
        <v/>
      </c>
      <c r="Q78" s="257">
        <f t="shared" si="11"/>
        <v>0</v>
      </c>
      <c r="R78" s="257">
        <f t="shared" si="12"/>
        <v>0</v>
      </c>
      <c r="S78" s="191"/>
      <c r="T78" s="190"/>
      <c r="U78" s="191"/>
      <c r="V78" s="191"/>
      <c r="W78" s="191"/>
      <c r="X78" s="191"/>
      <c r="Y78" s="190"/>
    </row>
    <row r="79" spans="1:25" ht="24.95" customHeight="1">
      <c r="A79" s="5">
        <v>43</v>
      </c>
      <c r="B79" s="258" t="str">
        <f t="shared" si="8"/>
        <v/>
      </c>
      <c r="C79" s="54"/>
      <c r="D79" s="286"/>
      <c r="E79" s="54"/>
      <c r="F79" s="55"/>
      <c r="G79" s="55"/>
      <c r="H79" s="54"/>
      <c r="I79" s="54"/>
      <c r="J79" s="60" t="str">
        <f t="shared" si="7"/>
        <v/>
      </c>
      <c r="K79" s="56"/>
      <c r="L79" s="243"/>
      <c r="M79" s="246"/>
      <c r="N79" s="231"/>
      <c r="O79" s="254"/>
      <c r="P79" s="253" t="str">
        <f t="shared" si="10"/>
        <v/>
      </c>
      <c r="Q79" s="257">
        <f t="shared" si="11"/>
        <v>0</v>
      </c>
      <c r="R79" s="257">
        <f t="shared" si="12"/>
        <v>0</v>
      </c>
      <c r="S79" s="191"/>
      <c r="T79" s="190"/>
      <c r="U79" s="191"/>
      <c r="V79" s="191"/>
      <c r="W79" s="191"/>
      <c r="X79" s="191"/>
      <c r="Y79" s="190"/>
    </row>
    <row r="80" spans="1:25" ht="24.95" customHeight="1">
      <c r="A80" s="5">
        <v>44</v>
      </c>
      <c r="B80" s="258" t="str">
        <f t="shared" si="8"/>
        <v/>
      </c>
      <c r="C80" s="54"/>
      <c r="D80" s="286"/>
      <c r="E80" s="54"/>
      <c r="F80" s="55"/>
      <c r="G80" s="55"/>
      <c r="H80" s="54"/>
      <c r="I80" s="54"/>
      <c r="J80" s="60" t="str">
        <f t="shared" si="7"/>
        <v/>
      </c>
      <c r="K80" s="56"/>
      <c r="L80" s="243"/>
      <c r="M80" s="246"/>
      <c r="N80" s="231"/>
      <c r="O80" s="254"/>
      <c r="P80" s="253" t="str">
        <f t="shared" si="10"/>
        <v/>
      </c>
      <c r="Q80" s="257">
        <f t="shared" si="11"/>
        <v>0</v>
      </c>
      <c r="R80" s="257">
        <f t="shared" si="12"/>
        <v>0</v>
      </c>
      <c r="S80" s="191"/>
      <c r="T80" s="190"/>
      <c r="U80" s="191"/>
      <c r="V80" s="191"/>
      <c r="W80" s="191"/>
      <c r="X80" s="191"/>
      <c r="Y80" s="190"/>
    </row>
    <row r="81" spans="1:25" ht="24.95" customHeight="1">
      <c r="A81" s="5">
        <v>45</v>
      </c>
      <c r="B81" s="258" t="str">
        <f t="shared" si="8"/>
        <v/>
      </c>
      <c r="C81" s="54"/>
      <c r="D81" s="286"/>
      <c r="E81" s="54"/>
      <c r="F81" s="55"/>
      <c r="G81" s="55"/>
      <c r="H81" s="54"/>
      <c r="I81" s="54"/>
      <c r="J81" s="60" t="str">
        <f t="shared" si="7"/>
        <v/>
      </c>
      <c r="K81" s="56"/>
      <c r="L81" s="243"/>
      <c r="M81" s="246"/>
      <c r="N81" s="231"/>
      <c r="O81" s="254"/>
      <c r="P81" s="253" t="str">
        <f t="shared" si="10"/>
        <v/>
      </c>
      <c r="Q81" s="257">
        <f t="shared" si="11"/>
        <v>0</v>
      </c>
      <c r="R81" s="257">
        <f t="shared" si="12"/>
        <v>0</v>
      </c>
      <c r="S81" s="191"/>
      <c r="T81" s="190"/>
      <c r="U81" s="191"/>
      <c r="V81" s="191"/>
      <c r="W81" s="191"/>
      <c r="X81" s="191"/>
      <c r="Y81" s="190"/>
    </row>
    <row r="82" spans="1:25" ht="24.95" customHeight="1">
      <c r="A82" s="5">
        <v>46</v>
      </c>
      <c r="B82" s="258" t="str">
        <f t="shared" si="8"/>
        <v/>
      </c>
      <c r="C82" s="54"/>
      <c r="D82" s="286"/>
      <c r="E82" s="54"/>
      <c r="F82" s="55"/>
      <c r="G82" s="55"/>
      <c r="H82" s="54"/>
      <c r="I82" s="54"/>
      <c r="J82" s="60" t="str">
        <f t="shared" si="7"/>
        <v/>
      </c>
      <c r="K82" s="56"/>
      <c r="L82" s="243"/>
      <c r="M82" s="246"/>
      <c r="N82" s="231"/>
      <c r="O82" s="254"/>
      <c r="P82" s="253" t="str">
        <f t="shared" si="10"/>
        <v/>
      </c>
      <c r="Q82" s="257">
        <f t="shared" si="11"/>
        <v>0</v>
      </c>
      <c r="R82" s="257">
        <f t="shared" si="12"/>
        <v>0</v>
      </c>
      <c r="S82" s="191"/>
      <c r="T82" s="190"/>
      <c r="U82" s="191"/>
      <c r="V82" s="191"/>
      <c r="W82" s="191"/>
      <c r="X82" s="191"/>
      <c r="Y82" s="190"/>
    </row>
    <row r="83" spans="1:25" ht="24.95" customHeight="1">
      <c r="A83" s="5">
        <v>47</v>
      </c>
      <c r="B83" s="258" t="str">
        <f t="shared" si="8"/>
        <v/>
      </c>
      <c r="C83" s="54"/>
      <c r="D83" s="286"/>
      <c r="E83" s="54"/>
      <c r="F83" s="55"/>
      <c r="G83" s="55"/>
      <c r="H83" s="54"/>
      <c r="I83" s="54"/>
      <c r="J83" s="60" t="str">
        <f t="shared" si="7"/>
        <v/>
      </c>
      <c r="K83" s="56"/>
      <c r="L83" s="243"/>
      <c r="M83" s="246"/>
      <c r="N83" s="231"/>
      <c r="O83" s="254"/>
      <c r="P83" s="253" t="str">
        <f t="shared" si="10"/>
        <v/>
      </c>
      <c r="Q83" s="257">
        <f t="shared" si="11"/>
        <v>0</v>
      </c>
      <c r="R83" s="257">
        <f t="shared" si="12"/>
        <v>0</v>
      </c>
      <c r="S83" s="191"/>
      <c r="T83" s="190"/>
      <c r="U83" s="191"/>
      <c r="V83" s="191"/>
      <c r="W83" s="191"/>
      <c r="X83" s="191"/>
      <c r="Y83" s="190"/>
    </row>
    <row r="84" spans="1:25" ht="24.95" customHeight="1">
      <c r="A84" s="5">
        <v>48</v>
      </c>
      <c r="B84" s="258" t="str">
        <f t="shared" si="8"/>
        <v/>
      </c>
      <c r="C84" s="54"/>
      <c r="D84" s="286"/>
      <c r="E84" s="54"/>
      <c r="F84" s="55"/>
      <c r="G84" s="55"/>
      <c r="H84" s="54"/>
      <c r="I84" s="54"/>
      <c r="J84" s="60" t="str">
        <f t="shared" si="7"/>
        <v/>
      </c>
      <c r="K84" s="56"/>
      <c r="L84" s="243"/>
      <c r="M84" s="246"/>
      <c r="N84" s="231"/>
      <c r="O84" s="254"/>
      <c r="P84" s="253" t="str">
        <f t="shared" si="10"/>
        <v/>
      </c>
      <c r="Q84" s="257">
        <f t="shared" si="11"/>
        <v>0</v>
      </c>
      <c r="R84" s="257">
        <f t="shared" si="12"/>
        <v>0</v>
      </c>
      <c r="S84" s="191"/>
      <c r="T84" s="190"/>
      <c r="U84" s="191"/>
      <c r="V84" s="191"/>
      <c r="W84" s="191"/>
      <c r="X84" s="191"/>
      <c r="Y84" s="190"/>
    </row>
    <row r="85" spans="1:25" ht="24.95" customHeight="1">
      <c r="A85" s="5">
        <v>49</v>
      </c>
      <c r="B85" s="258" t="str">
        <f t="shared" si="8"/>
        <v/>
      </c>
      <c r="C85" s="54"/>
      <c r="D85" s="286"/>
      <c r="E85" s="54"/>
      <c r="F85" s="55"/>
      <c r="G85" s="55"/>
      <c r="H85" s="54"/>
      <c r="I85" s="54"/>
      <c r="J85" s="60" t="str">
        <f t="shared" si="7"/>
        <v/>
      </c>
      <c r="K85" s="56"/>
      <c r="L85" s="243"/>
      <c r="M85" s="246"/>
      <c r="N85" s="231"/>
      <c r="O85" s="254"/>
      <c r="P85" s="253" t="str">
        <f t="shared" si="10"/>
        <v/>
      </c>
      <c r="Q85" s="257">
        <f t="shared" si="11"/>
        <v>0</v>
      </c>
      <c r="R85" s="257">
        <f t="shared" si="12"/>
        <v>0</v>
      </c>
      <c r="S85" s="191"/>
      <c r="T85" s="190"/>
      <c r="U85" s="191"/>
      <c r="V85" s="191"/>
      <c r="W85" s="191"/>
      <c r="X85" s="191"/>
      <c r="Y85" s="190"/>
    </row>
    <row r="86" spans="1:25" ht="24.95" customHeight="1">
      <c r="A86" s="5">
        <v>50</v>
      </c>
      <c r="B86" s="258" t="str">
        <f t="shared" si="8"/>
        <v/>
      </c>
      <c r="C86" s="54"/>
      <c r="D86" s="286"/>
      <c r="E86" s="54"/>
      <c r="F86" s="55"/>
      <c r="G86" s="55"/>
      <c r="H86" s="54"/>
      <c r="I86" s="54"/>
      <c r="J86" s="60" t="str">
        <f t="shared" si="7"/>
        <v/>
      </c>
      <c r="K86" s="54"/>
      <c r="L86" s="243"/>
      <c r="M86" s="247"/>
      <c r="N86" s="231"/>
      <c r="O86" s="254"/>
      <c r="P86" s="253" t="str">
        <f t="shared" si="10"/>
        <v/>
      </c>
      <c r="Q86" s="257">
        <f t="shared" si="11"/>
        <v>0</v>
      </c>
      <c r="R86" s="257">
        <f t="shared" si="12"/>
        <v>0</v>
      </c>
      <c r="S86" s="191"/>
      <c r="T86" s="190"/>
      <c r="U86" s="191"/>
      <c r="V86" s="191"/>
      <c r="W86" s="191"/>
      <c r="X86" s="191"/>
      <c r="Y86" s="190"/>
    </row>
  </sheetData>
  <mergeCells count="22">
    <mergeCell ref="M10:O10"/>
    <mergeCell ref="A36:O36"/>
    <mergeCell ref="A1:O1"/>
    <mergeCell ref="N4:O4"/>
    <mergeCell ref="D10:D11"/>
    <mergeCell ref="B10:B11"/>
    <mergeCell ref="A28:A32"/>
    <mergeCell ref="A12:A26"/>
    <mergeCell ref="B28:B32"/>
    <mergeCell ref="A4:D4"/>
    <mergeCell ref="F10:H10"/>
    <mergeCell ref="I10:I11"/>
    <mergeCell ref="L10:L11"/>
    <mergeCell ref="E10:E11"/>
    <mergeCell ref="C10:C11"/>
    <mergeCell ref="A10:A11"/>
    <mergeCell ref="J10:J11"/>
    <mergeCell ref="K10:K11"/>
    <mergeCell ref="D6:E6"/>
    <mergeCell ref="D7:E7"/>
    <mergeCell ref="F6:I6"/>
    <mergeCell ref="F7:I7"/>
  </mergeCells>
  <phoneticPr fontId="1"/>
  <conditionalFormatting sqref="N12:O12">
    <cfRule type="expression" dxfId="4" priority="4">
      <formula>$M$12="なし"</formula>
    </cfRule>
  </conditionalFormatting>
  <conditionalFormatting sqref="N12:O34">
    <cfRule type="expression" dxfId="3" priority="3">
      <formula>$M12="なし"</formula>
    </cfRule>
  </conditionalFormatting>
  <conditionalFormatting sqref="N37:O86">
    <cfRule type="expression" dxfId="2" priority="2">
      <formula>$M37="なし"</formula>
    </cfRule>
  </conditionalFormatting>
  <conditionalFormatting sqref="I17">
    <cfRule type="expression" dxfId="1" priority="1">
      <formula>$C$17="園長兼務"</formula>
    </cfRule>
  </conditionalFormatting>
  <dataValidations count="6">
    <dataValidation type="list" allowBlank="1" showInputMessage="1" showErrorMessage="1" sqref="F28:G32 F34:G34 F37:H86 F12:G26">
      <formula1>"〇"</formula1>
    </dataValidation>
    <dataValidation type="list" allowBlank="1" showInputMessage="1" showErrorMessage="1" sqref="J34 J28:J32 J12:J26 J37:J86">
      <formula1>"常勤,非常勤,常勤補助,非常勤補助"</formula1>
    </dataValidation>
    <dataValidation type="list" allowBlank="1" showInputMessage="1" showErrorMessage="1" sqref="C17">
      <formula1>"事務職員,園長兼務"</formula1>
    </dataValidation>
    <dataValidation type="list" allowBlank="1" showInputMessage="1" showErrorMessage="1" sqref="K28:K32 K34 K37:K86 K12:K26">
      <formula1>"○,―"</formula1>
    </dataValidation>
    <dataValidation type="list" allowBlank="1" showInputMessage="1" showErrorMessage="1" sqref="M28:M32 M34 M37:M86 M12:M26">
      <formula1>"あり,なし"</formula1>
    </dataValidation>
    <dataValidation type="list" allowBlank="1" showInputMessage="1" showErrorMessage="1" sqref="H28:H32 H34 H12:H26">
      <formula1>"○"</formula1>
    </dataValidation>
  </dataValidations>
  <pageMargins left="0.51181102362204722" right="0.31496062992125984" top="0.55118110236220474" bottom="0.55118110236220474" header="0.31496062992125984" footer="0.31496062992125984"/>
  <pageSetup paperSize="9" scale="68" fitToHeight="0" orientation="portrait" r:id="rId1"/>
  <rowBreaks count="1" manualBreakCount="1">
    <brk id="34"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4"/>
  <sheetViews>
    <sheetView view="pageBreakPreview" zoomScale="130" zoomScaleNormal="100" zoomScaleSheetLayoutView="130" workbookViewId="0">
      <selection activeCell="F35" sqref="F35"/>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3.5" customWidth="1"/>
    <col min="12" max="12" width="7.25" customWidth="1"/>
    <col min="13" max="13" width="16.75" customWidth="1"/>
    <col min="14" max="16" width="4.375" customWidth="1"/>
    <col min="17" max="17" width="3" customWidth="1"/>
    <col min="18" max="18" width="7.375" customWidth="1"/>
  </cols>
  <sheetData>
    <row r="1" spans="1:18" ht="24">
      <c r="A1" s="313" t="s">
        <v>162</v>
      </c>
      <c r="B1" s="313"/>
      <c r="C1" s="313"/>
      <c r="D1" s="313"/>
      <c r="E1" s="313"/>
      <c r="F1" s="313"/>
      <c r="G1" s="313"/>
      <c r="H1" s="313"/>
      <c r="I1" s="313"/>
      <c r="J1" s="10"/>
      <c r="K1" s="10"/>
      <c r="L1" s="10" t="s">
        <v>194</v>
      </c>
    </row>
    <row r="2" spans="1:18" ht="19.5" thickBot="1">
      <c r="A2" t="s">
        <v>236</v>
      </c>
      <c r="I2" s="148">
        <f>改修履歴!A1</f>
        <v>1</v>
      </c>
      <c r="K2" s="135">
        <f>IF(L2="可",1,0)</f>
        <v>0</v>
      </c>
      <c r="L2" s="132" t="str">
        <f>IF(N2=1,"可","不可")</f>
        <v>不可</v>
      </c>
      <c r="M2" s="29" t="s">
        <v>185</v>
      </c>
      <c r="N2">
        <f>SUM(O2:Q2)</f>
        <v>0</v>
      </c>
      <c r="O2">
        <f>IF(COUNTA(③職員名簿!D39:E39)=2,1,0)</f>
        <v>0</v>
      </c>
    </row>
    <row r="3" spans="1:18" ht="19.5" thickBot="1">
      <c r="A3" s="332">
        <f>①基本情報!A4</f>
        <v>45748</v>
      </c>
      <c r="B3" s="370"/>
      <c r="C3" s="370"/>
      <c r="D3" s="333"/>
      <c r="K3" s="135">
        <f>IF(L3="可",1,0)</f>
        <v>0</v>
      </c>
      <c r="L3" s="132" t="str">
        <f>IF(N3=3,"可","不可")</f>
        <v>不可</v>
      </c>
      <c r="M3" s="29" t="s">
        <v>186</v>
      </c>
      <c r="N3">
        <f>SUM(O3:Q3)</f>
        <v>1</v>
      </c>
      <c r="O3">
        <f>IF(SUM(①基本情報!H26:H27)&gt;300,0,IF(SUM(①基本情報!H26:H27)&lt;36,0,1))</f>
        <v>0</v>
      </c>
      <c r="P3">
        <f>IF(⑤集計表!O19&lt;0,0,1)</f>
        <v>1</v>
      </c>
      <c r="Q3">
        <f>$K$14</f>
        <v>0</v>
      </c>
    </row>
    <row r="4" spans="1:18" ht="17.25" customHeight="1">
      <c r="A4" s="7"/>
      <c r="B4" s="8"/>
      <c r="C4" s="8"/>
      <c r="D4" s="8"/>
      <c r="E4" s="8"/>
      <c r="F4" s="8"/>
      <c r="G4" s="8"/>
      <c r="H4" s="8"/>
      <c r="I4" s="10"/>
      <c r="K4" s="135">
        <f t="shared" ref="K4:K13" si="0">IF(L4="可",1,0)</f>
        <v>0</v>
      </c>
      <c r="L4" s="132" t="str">
        <f>IF(N4=2,"可","不可")</f>
        <v>不可</v>
      </c>
      <c r="M4" s="29" t="s">
        <v>187</v>
      </c>
      <c r="N4">
        <f t="shared" ref="N4:N8" si="1">SUM(O4:Q4)</f>
        <v>1</v>
      </c>
      <c r="O4">
        <f>IF(⑤集計表!O19&lt;0,0,1)</f>
        <v>1</v>
      </c>
      <c r="Q4">
        <f t="shared" ref="Q4:Q8" si="2">$K$14</f>
        <v>0</v>
      </c>
    </row>
    <row r="5" spans="1:18" ht="19.5" thickBot="1">
      <c r="A5" s="3" t="s">
        <v>38</v>
      </c>
      <c r="F5" s="27"/>
      <c r="G5" s="27"/>
      <c r="H5" s="27"/>
      <c r="I5" s="27"/>
      <c r="K5" s="135">
        <f t="shared" si="0"/>
        <v>0</v>
      </c>
      <c r="L5" s="132" t="str">
        <f>IF(N5=2,"可","不可")</f>
        <v>不可</v>
      </c>
      <c r="M5" s="29" t="s">
        <v>188</v>
      </c>
      <c r="N5">
        <f t="shared" si="1"/>
        <v>1</v>
      </c>
      <c r="O5">
        <f>IF(⑤集計表!O19&lt;0,0,1)</f>
        <v>1</v>
      </c>
      <c r="Q5">
        <f t="shared" si="2"/>
        <v>0</v>
      </c>
    </row>
    <row r="6" spans="1:18" ht="19.5" thickBot="1">
      <c r="A6" s="336" t="str">
        <f>①基本情報!A7</f>
        <v>〇〇認定こども園</v>
      </c>
      <c r="B6" s="337"/>
      <c r="C6" s="337"/>
      <c r="D6" s="337"/>
      <c r="E6" s="337"/>
      <c r="F6" s="337"/>
      <c r="G6" s="338"/>
      <c r="H6" s="69"/>
      <c r="K6" s="135">
        <f t="shared" si="0"/>
        <v>0</v>
      </c>
      <c r="L6" s="132" t="str">
        <f>IF(N6=2,"可","不可")</f>
        <v>不可</v>
      </c>
      <c r="M6" s="29" t="s">
        <v>189</v>
      </c>
      <c r="N6">
        <f t="shared" si="1"/>
        <v>0</v>
      </c>
      <c r="O6">
        <f>IF(⑤集計表!O31&lt;0,0,1)</f>
        <v>0</v>
      </c>
      <c r="Q6">
        <f t="shared" si="2"/>
        <v>0</v>
      </c>
    </row>
    <row r="7" spans="1:18">
      <c r="K7" s="135">
        <f t="shared" si="0"/>
        <v>0</v>
      </c>
      <c r="L7" s="132" t="str">
        <f>IF(N7=2,"可","不可")</f>
        <v>不可</v>
      </c>
      <c r="M7" s="29" t="s">
        <v>190</v>
      </c>
      <c r="N7">
        <f t="shared" si="1"/>
        <v>0</v>
      </c>
      <c r="O7">
        <f>IF(⑤集計表!O31&lt;0,0,1)</f>
        <v>0</v>
      </c>
      <c r="Q7">
        <f t="shared" si="2"/>
        <v>0</v>
      </c>
    </row>
    <row r="8" spans="1:18" ht="19.5" thickBot="1">
      <c r="A8" t="s">
        <v>65</v>
      </c>
      <c r="F8" t="s">
        <v>49</v>
      </c>
      <c r="K8" s="135">
        <f t="shared" si="0"/>
        <v>0</v>
      </c>
      <c r="L8" s="132" t="str">
        <f>IF(N8=3,"可","不可")</f>
        <v>不可</v>
      </c>
      <c r="M8" s="29" t="s">
        <v>184</v>
      </c>
      <c r="N8">
        <f t="shared" si="1"/>
        <v>1</v>
      </c>
      <c r="O8">
        <f>IF(COUNTIF(G12:G13,"〇")=0,1,0)</f>
        <v>1</v>
      </c>
      <c r="P8">
        <f>IF(COUNTA(③職員名簿!E15)=1,1,0)</f>
        <v>0</v>
      </c>
      <c r="Q8">
        <f t="shared" si="2"/>
        <v>0</v>
      </c>
    </row>
    <row r="9" spans="1:18" ht="19.5" thickBot="1">
      <c r="A9" s="1">
        <v>1</v>
      </c>
      <c r="B9" s="90" t="s">
        <v>79</v>
      </c>
      <c r="C9" s="371" t="s">
        <v>331</v>
      </c>
      <c r="D9" s="372"/>
      <c r="E9" s="28"/>
      <c r="F9" s="1">
        <v>18</v>
      </c>
      <c r="G9" s="19"/>
      <c r="H9" s="372" t="s">
        <v>50</v>
      </c>
      <c r="I9" s="373"/>
      <c r="K9" s="135">
        <f t="shared" si="0"/>
        <v>0</v>
      </c>
      <c r="L9" s="132" t="str">
        <f>IF(N9=2,"可","不可")</f>
        <v>不可</v>
      </c>
      <c r="M9" s="29" t="s">
        <v>191</v>
      </c>
      <c r="N9">
        <f>SUM(O9:P9)</f>
        <v>0</v>
      </c>
      <c r="O9">
        <f>IF(①基本情報!H29&lt;90,0,1)</f>
        <v>0</v>
      </c>
      <c r="P9">
        <f>IF(COUNTA(③職員名簿!D17:E18)=4,1,0)</f>
        <v>0</v>
      </c>
    </row>
    <row r="10" spans="1:18" ht="19.5" thickBot="1">
      <c r="A10" s="1">
        <v>2</v>
      </c>
      <c r="B10" s="19"/>
      <c r="C10" s="371" t="str">
        <f>IF(K2=1,"副園長・教頭配置加算","【適用不可】副園長・教頭配置加算")</f>
        <v>【適用不可】副園長・教頭配置加算</v>
      </c>
      <c r="D10" s="372"/>
      <c r="E10" s="28"/>
      <c r="F10" s="1">
        <v>19</v>
      </c>
      <c r="G10" s="19"/>
      <c r="H10" s="372" t="s">
        <v>51</v>
      </c>
      <c r="I10" s="373"/>
      <c r="K10" s="135">
        <f t="shared" si="0"/>
        <v>0</v>
      </c>
      <c r="L10" s="132" t="str">
        <f>IF(N10=1,"可","不可")</f>
        <v>不可</v>
      </c>
      <c r="M10" s="29" t="s">
        <v>192</v>
      </c>
      <c r="N10">
        <f>SUM(O10:P10)</f>
        <v>0</v>
      </c>
      <c r="O10">
        <f>IF(①基本情報!L4&gt;=2,1,0)</f>
        <v>0</v>
      </c>
    </row>
    <row r="11" spans="1:18" ht="19.5" thickBot="1">
      <c r="A11" s="1">
        <v>3</v>
      </c>
      <c r="B11" s="19"/>
      <c r="C11" s="371" t="str">
        <f>IF(K3=1,"学級編制調整加配加算","【適用不可】学級編制調整加配加算")</f>
        <v>【適用不可】学級編制調整加配加算</v>
      </c>
      <c r="D11" s="372"/>
      <c r="E11" s="28"/>
      <c r="F11" s="1">
        <v>20</v>
      </c>
      <c r="G11" s="19"/>
      <c r="H11" s="117"/>
      <c r="I11" s="92" t="s">
        <v>52</v>
      </c>
      <c r="K11" s="135">
        <f t="shared" si="0"/>
        <v>0</v>
      </c>
      <c r="L11" s="132" t="str">
        <f>IF(N11=1,"可","不可")</f>
        <v>不可</v>
      </c>
      <c r="M11" s="29" t="s">
        <v>193</v>
      </c>
      <c r="N11">
        <f>SUM(O11:P11)</f>
        <v>0</v>
      </c>
      <c r="O11">
        <f>IF(①基本情報!L5&gt;=1,1,0)</f>
        <v>0</v>
      </c>
    </row>
    <row r="12" spans="1:18" ht="19.5" thickBot="1">
      <c r="A12" s="1">
        <v>4</v>
      </c>
      <c r="B12" s="19"/>
      <c r="C12" s="371" t="str">
        <f>IF(K13=1,"1歳児配置改善加算","【適用不可】1歳児配置改善加算")</f>
        <v>【適用不可】1歳児配置改善加算</v>
      </c>
      <c r="D12" s="372"/>
      <c r="E12" s="28"/>
      <c r="F12" s="379">
        <v>21</v>
      </c>
      <c r="G12" s="19"/>
      <c r="H12" s="372" t="s">
        <v>95</v>
      </c>
      <c r="I12" s="373"/>
      <c r="K12" s="135">
        <f t="shared" si="0"/>
        <v>0</v>
      </c>
      <c r="L12" s="132" t="str">
        <f>IF(AND(N12=2,B17=""),"可","不可")</f>
        <v>不可</v>
      </c>
      <c r="M12" s="29" t="s">
        <v>300</v>
      </c>
      <c r="N12">
        <f t="shared" ref="N12" si="3">SUM(O12:Q12)</f>
        <v>1</v>
      </c>
      <c r="O12">
        <f>IF(⑤集計表!O19&lt;0,0,1)</f>
        <v>1</v>
      </c>
      <c r="Q12">
        <f>$K$14</f>
        <v>0</v>
      </c>
    </row>
    <row r="13" spans="1:18" ht="19.5" thickBot="1">
      <c r="A13" s="1">
        <v>5</v>
      </c>
      <c r="B13" s="19"/>
      <c r="C13" s="371" t="str">
        <f>IF(K4=1,"3歳児配置改善加算","【適用不可】3歳児配置改善加算")</f>
        <v>【適用不可】3歳児配置改善加算</v>
      </c>
      <c r="D13" s="372"/>
      <c r="E13" s="28"/>
      <c r="F13" s="380"/>
      <c r="G13" s="19"/>
      <c r="H13" s="372" t="s">
        <v>96</v>
      </c>
      <c r="I13" s="373"/>
      <c r="K13" s="135">
        <f t="shared" si="0"/>
        <v>0</v>
      </c>
      <c r="L13" s="132" t="str">
        <f>IF(N13=4,"可","不可")</f>
        <v>不可</v>
      </c>
      <c r="M13" s="29" t="s">
        <v>323</v>
      </c>
      <c r="N13">
        <f>SUM(O13:R13)</f>
        <v>1</v>
      </c>
      <c r="O13">
        <f>IF(⑤集計表!O19&lt;0,0,1)</f>
        <v>1</v>
      </c>
      <c r="P13">
        <f>IF(AND(①基本情報!L19&gt;=1,①基本情報!L20&gt;=1),1,0)</f>
        <v>0</v>
      </c>
      <c r="Q13">
        <f>IF(①基本情報!A16&gt;=10,1,0)</f>
        <v>0</v>
      </c>
      <c r="R13">
        <f>$K$14</f>
        <v>0</v>
      </c>
    </row>
    <row r="14" spans="1:18" ht="19.5" thickBot="1">
      <c r="A14" s="1">
        <v>6</v>
      </c>
      <c r="B14" s="19"/>
      <c r="C14" s="371" t="str">
        <f>IF(K5=1,"満3歳児対応加配加算","【適用不可】満3歳児対応加配加算")</f>
        <v>【適用不可】満3歳児対応加配加算</v>
      </c>
      <c r="D14" s="372"/>
      <c r="E14" s="28"/>
      <c r="F14" s="1">
        <v>22</v>
      </c>
      <c r="G14" s="19"/>
      <c r="H14" s="372" t="s">
        <v>53</v>
      </c>
      <c r="I14" s="373"/>
      <c r="K14" s="135">
        <f>IF(L14="OK",1,0)</f>
        <v>0</v>
      </c>
      <c r="L14" s="132" t="str">
        <f>IF(⑤集計表!M34="満たしている","OK","NG")</f>
        <v>NG</v>
      </c>
      <c r="M14" s="144" t="s">
        <v>228</v>
      </c>
    </row>
    <row r="15" spans="1:18" ht="19.5" thickBot="1">
      <c r="A15" s="1">
        <v>7</v>
      </c>
      <c r="B15" s="19"/>
      <c r="C15" s="371" t="str">
        <f>IF(K12=1,"4歳以上児配置改善加算","【適用不可】4歳以上児配置改善加算")</f>
        <v>【適用不可】4歳以上児配置改善加算</v>
      </c>
      <c r="D15" s="372"/>
      <c r="E15" s="28"/>
      <c r="F15" s="23">
        <v>23</v>
      </c>
      <c r="G15" s="294"/>
      <c r="H15" s="375" t="s">
        <v>54</v>
      </c>
      <c r="I15" s="381"/>
      <c r="L15" s="133"/>
      <c r="M15" s="29"/>
    </row>
    <row r="16" spans="1:18" ht="19.5" thickBot="1">
      <c r="A16" s="1">
        <v>8</v>
      </c>
      <c r="B16" s="19"/>
      <c r="C16" s="374" t="str">
        <f>IF(K6=1,"講師配置加算","【適用不可】講師配置加算")</f>
        <v>【適用不可】講師配置加算</v>
      </c>
      <c r="D16" s="375"/>
      <c r="E16" s="28"/>
      <c r="F16" s="295"/>
      <c r="G16" s="295"/>
      <c r="H16" s="296"/>
      <c r="I16" s="296"/>
      <c r="L16" t="s">
        <v>197</v>
      </c>
      <c r="O16" s="52" t="s">
        <v>102</v>
      </c>
      <c r="P16" s="52" t="s">
        <v>101</v>
      </c>
      <c r="R16" s="143" t="s">
        <v>224</v>
      </c>
    </row>
    <row r="17" spans="1:18" ht="19.5" thickBot="1">
      <c r="A17" s="1">
        <v>9</v>
      </c>
      <c r="B17" s="19"/>
      <c r="C17" s="19"/>
      <c r="D17" s="68" t="str">
        <f>IF(K7=1,"チーム保育加配加算","【適用不可】チーム保育加配加算")</f>
        <v>【適用不可】チーム保育加配加算</v>
      </c>
      <c r="E17" s="28"/>
      <c r="F17" t="s">
        <v>55</v>
      </c>
      <c r="I17" s="29"/>
      <c r="M17" s="382" t="s">
        <v>167</v>
      </c>
      <c r="O17" s="52">
        <v>1</v>
      </c>
      <c r="P17" s="52">
        <v>1</v>
      </c>
      <c r="R17" s="141" t="s">
        <v>210</v>
      </c>
    </row>
    <row r="18" spans="1:18" ht="19.5" thickBot="1">
      <c r="A18" s="1">
        <v>10</v>
      </c>
      <c r="B18" s="19"/>
      <c r="C18" s="376" t="s">
        <v>42</v>
      </c>
      <c r="D18" s="377"/>
      <c r="E18" s="28"/>
      <c r="F18" s="379">
        <v>24</v>
      </c>
      <c r="G18" s="19"/>
      <c r="H18" s="372" t="s">
        <v>97</v>
      </c>
      <c r="I18" s="373"/>
      <c r="M18" s="349"/>
      <c r="O18" s="52">
        <v>46</v>
      </c>
      <c r="P18" s="52">
        <v>2</v>
      </c>
      <c r="R18" s="141" t="s">
        <v>211</v>
      </c>
    </row>
    <row r="19" spans="1:18" ht="19.5" thickBot="1">
      <c r="A19" s="1">
        <v>11</v>
      </c>
      <c r="B19" s="19" t="s">
        <v>79</v>
      </c>
      <c r="C19" s="19">
        <v>5</v>
      </c>
      <c r="D19" s="67" t="s">
        <v>43</v>
      </c>
      <c r="E19" s="28"/>
      <c r="F19" s="380"/>
      <c r="G19" s="19"/>
      <c r="H19" s="372" t="s">
        <v>98</v>
      </c>
      <c r="I19" s="373"/>
      <c r="L19" s="134" t="e">
        <f>VLOOKUP(M19,O17:P25,2,TRUE)</f>
        <v>#N/A</v>
      </c>
      <c r="M19" s="74">
        <f>SUM(①基本情報!H26:H27)</f>
        <v>0</v>
      </c>
      <c r="O19" s="52">
        <v>151</v>
      </c>
      <c r="P19" s="52">
        <v>3</v>
      </c>
      <c r="R19" s="141" t="s">
        <v>212</v>
      </c>
    </row>
    <row r="20" spans="1:18" ht="19.5" thickBot="1">
      <c r="A20" s="1">
        <v>12</v>
      </c>
      <c r="B20" s="19"/>
      <c r="C20" s="377" t="s">
        <v>44</v>
      </c>
      <c r="D20" s="373"/>
      <c r="E20" s="28"/>
      <c r="F20" t="s">
        <v>56</v>
      </c>
      <c r="I20" s="29"/>
      <c r="O20" s="52">
        <v>241</v>
      </c>
      <c r="P20" s="52">
        <v>3.5</v>
      </c>
      <c r="R20" s="141" t="s">
        <v>213</v>
      </c>
    </row>
    <row r="21" spans="1:18" ht="19.5" thickBot="1">
      <c r="A21" s="1">
        <v>13</v>
      </c>
      <c r="B21" s="19"/>
      <c r="C21" s="142"/>
      <c r="D21" s="67" t="s">
        <v>45</v>
      </c>
      <c r="E21" s="28"/>
      <c r="F21" s="1">
        <v>25</v>
      </c>
      <c r="G21" s="19"/>
      <c r="H21" s="48"/>
      <c r="I21" s="68" t="str">
        <f>IF(K8=1,"療育支援加算","【適用不可】療育支援加算")</f>
        <v>【適用不可】療育支援加算</v>
      </c>
      <c r="O21" s="52">
        <v>271</v>
      </c>
      <c r="P21" s="52">
        <v>5</v>
      </c>
      <c r="R21" s="141" t="s">
        <v>214</v>
      </c>
    </row>
    <row r="22" spans="1:18" ht="18.75" customHeight="1" thickBot="1">
      <c r="A22" s="1">
        <v>14</v>
      </c>
      <c r="B22" s="19"/>
      <c r="C22" s="378" t="s">
        <v>46</v>
      </c>
      <c r="D22" s="373"/>
      <c r="E22" s="28"/>
      <c r="F22" s="1">
        <v>26</v>
      </c>
      <c r="G22" s="19"/>
      <c r="H22" s="378" t="str">
        <f>IF(K9=1,"事務職員配置加算","【適用不可】事務職員配置加算")</f>
        <v>【適用不可】事務職員配置加算</v>
      </c>
      <c r="I22" s="373"/>
      <c r="O22" s="52">
        <v>301</v>
      </c>
      <c r="P22" s="52">
        <v>6</v>
      </c>
      <c r="R22" s="141" t="s">
        <v>215</v>
      </c>
    </row>
    <row r="23" spans="1:18" ht="19.5" thickBot="1">
      <c r="A23" s="1">
        <v>15</v>
      </c>
      <c r="B23" s="19"/>
      <c r="C23" s="372" t="s">
        <v>47</v>
      </c>
      <c r="D23" s="373"/>
      <c r="F23" s="1">
        <v>27</v>
      </c>
      <c r="G23" s="19"/>
      <c r="H23" s="372" t="s">
        <v>57</v>
      </c>
      <c r="I23" s="373"/>
      <c r="O23" s="52">
        <v>451</v>
      </c>
      <c r="P23" s="52">
        <v>8</v>
      </c>
      <c r="R23" s="141" t="s">
        <v>216</v>
      </c>
    </row>
    <row r="24" spans="1:18" ht="19.5" thickBot="1">
      <c r="A24" s="1">
        <v>16</v>
      </c>
      <c r="B24" s="19"/>
      <c r="C24" s="372" t="s">
        <v>48</v>
      </c>
      <c r="D24" s="373"/>
      <c r="F24" s="1">
        <v>28</v>
      </c>
      <c r="G24" s="19"/>
      <c r="H24" s="372" t="s">
        <v>58</v>
      </c>
      <c r="I24" s="373"/>
      <c r="R24" s="141" t="s">
        <v>217</v>
      </c>
    </row>
    <row r="25" spans="1:18" ht="18.75" customHeight="1" thickBot="1">
      <c r="A25" s="1">
        <v>17</v>
      </c>
      <c r="B25" s="90" t="s">
        <v>79</v>
      </c>
      <c r="C25" s="372" t="s">
        <v>78</v>
      </c>
      <c r="D25" s="373"/>
      <c r="F25" s="1">
        <v>29</v>
      </c>
      <c r="G25" s="19" t="s">
        <v>79</v>
      </c>
      <c r="H25" s="372" t="s">
        <v>334</v>
      </c>
      <c r="I25" s="373"/>
      <c r="R25" s="141" t="s">
        <v>218</v>
      </c>
    </row>
    <row r="26" spans="1:18" ht="19.5" thickBot="1">
      <c r="F26" s="1">
        <v>30</v>
      </c>
      <c r="G26" s="90" t="s">
        <v>79</v>
      </c>
      <c r="H26" s="372" t="s">
        <v>59</v>
      </c>
      <c r="I26" s="373"/>
      <c r="R26" s="141" t="s">
        <v>219</v>
      </c>
    </row>
    <row r="27" spans="1:18" ht="19.5" thickBot="1">
      <c r="F27" s="1">
        <v>31</v>
      </c>
      <c r="G27" s="19"/>
      <c r="H27" s="372" t="s">
        <v>60</v>
      </c>
      <c r="I27" s="373"/>
      <c r="R27" s="141" t="s">
        <v>220</v>
      </c>
    </row>
    <row r="28" spans="1:18" ht="19.5" thickBot="1">
      <c r="F28" s="136">
        <v>32</v>
      </c>
      <c r="G28" s="137"/>
      <c r="H28" s="383" t="s">
        <v>61</v>
      </c>
      <c r="I28" s="384"/>
      <c r="R28" s="141" t="s">
        <v>221</v>
      </c>
    </row>
    <row r="29" spans="1:18" ht="19.5" thickBot="1">
      <c r="F29" s="136">
        <v>33</v>
      </c>
      <c r="G29" s="137"/>
      <c r="H29" s="383" t="s">
        <v>62</v>
      </c>
      <c r="I29" s="384"/>
      <c r="R29" s="141" t="s">
        <v>222</v>
      </c>
    </row>
    <row r="30" spans="1:18" ht="19.5" thickBot="1">
      <c r="F30" s="1">
        <v>34</v>
      </c>
      <c r="G30" s="19"/>
      <c r="H30" s="372" t="str">
        <f>IF(K11=1,"高齢者等活躍促進加算","【適用不可】高齢者等活躍促進加算")</f>
        <v>【適用不可】高齢者等活躍促進加算</v>
      </c>
      <c r="I30" s="373"/>
      <c r="R30" s="141" t="s">
        <v>223</v>
      </c>
    </row>
    <row r="31" spans="1:18" ht="19.5" thickBot="1">
      <c r="F31" s="1">
        <v>35</v>
      </c>
      <c r="G31" s="19"/>
      <c r="H31" s="372" t="str">
        <f>IF(K10=1,"施設機能強化推進費加算","【適用不可】施設機能強化推進費加算")</f>
        <v>【適用不可】施設機能強化推進費加算</v>
      </c>
      <c r="I31" s="373"/>
    </row>
    <row r="32" spans="1:18" ht="19.5" thickBot="1">
      <c r="F32" s="1">
        <v>36</v>
      </c>
      <c r="G32" s="270"/>
      <c r="H32" s="372" t="s">
        <v>63</v>
      </c>
      <c r="I32" s="373"/>
    </row>
    <row r="33" spans="6:9" ht="19.5" thickBot="1">
      <c r="F33" s="1">
        <v>37</v>
      </c>
      <c r="G33" s="19"/>
      <c r="H33" s="91"/>
      <c r="I33" s="92" t="s">
        <v>332</v>
      </c>
    </row>
    <row r="34" spans="6:9" ht="19.5" thickBot="1">
      <c r="F34" s="1">
        <v>38</v>
      </c>
      <c r="G34" s="19"/>
      <c r="H34" s="372" t="s">
        <v>64</v>
      </c>
      <c r="I34" s="373"/>
    </row>
  </sheetData>
  <mergeCells count="40">
    <mergeCell ref="M17:M18"/>
    <mergeCell ref="H32:I32"/>
    <mergeCell ref="H34:I34"/>
    <mergeCell ref="H23:I23"/>
    <mergeCell ref="H24:I24"/>
    <mergeCell ref="H26:I26"/>
    <mergeCell ref="H27:I27"/>
    <mergeCell ref="H28:I28"/>
    <mergeCell ref="H30:I30"/>
    <mergeCell ref="H25:I25"/>
    <mergeCell ref="H29:I29"/>
    <mergeCell ref="H31:I31"/>
    <mergeCell ref="F12:F13"/>
    <mergeCell ref="F18:F19"/>
    <mergeCell ref="H22:I22"/>
    <mergeCell ref="H19:I19"/>
    <mergeCell ref="H18:I18"/>
    <mergeCell ref="H15:I15"/>
    <mergeCell ref="H14:I14"/>
    <mergeCell ref="H13:I13"/>
    <mergeCell ref="H12:I12"/>
    <mergeCell ref="C20:D20"/>
    <mergeCell ref="C22:D22"/>
    <mergeCell ref="C23:D23"/>
    <mergeCell ref="C24:D24"/>
    <mergeCell ref="C25:D25"/>
    <mergeCell ref="C11:D11"/>
    <mergeCell ref="C13:D13"/>
    <mergeCell ref="C14:D14"/>
    <mergeCell ref="C16:D16"/>
    <mergeCell ref="C18:D18"/>
    <mergeCell ref="C15:D15"/>
    <mergeCell ref="C12:D12"/>
    <mergeCell ref="A6:G6"/>
    <mergeCell ref="A3:D3"/>
    <mergeCell ref="A1:I1"/>
    <mergeCell ref="C9:D9"/>
    <mergeCell ref="C10:D10"/>
    <mergeCell ref="H10:I10"/>
    <mergeCell ref="H9:I9"/>
  </mergeCells>
  <phoneticPr fontId="1"/>
  <dataValidations count="8">
    <dataValidation type="list" allowBlank="1" showInputMessage="1" showErrorMessage="1" sqref="G9:G16 G18:G19 G21:G31 G33:G34 B9:B25">
      <formula1>"〇"</formula1>
    </dataValidation>
    <dataValidation type="whole" allowBlank="1" showInputMessage="1" showErrorMessage="1" sqref="C19">
      <formula1>1</formula1>
      <formula2>10</formula2>
    </dataValidation>
    <dataValidation type="list" allowBlank="1" showInputMessage="1" showErrorMessage="1" sqref="H21">
      <formula1>"A,B"</formula1>
    </dataValidation>
    <dataValidation type="whole" allowBlank="1" showInputMessage="1" showErrorMessage="1" sqref="C17">
      <formula1>1</formula1>
      <formula2>2</formula2>
    </dataValidation>
    <dataValidation type="list" allowBlank="1" showInputMessage="1" showErrorMessage="1" sqref="H33">
      <formula1>"A,B,C"</formula1>
    </dataValidation>
    <dataValidation type="list" allowBlank="1" showInputMessage="1" showErrorMessage="1" sqref="H11">
      <formula1>"1日,2日,3日,全日"</formula1>
    </dataValidation>
    <dataValidation type="list" allowBlank="1" showInputMessage="1" showErrorMessage="1" sqref="C21">
      <formula1>$R$17:$R$30</formula1>
    </dataValidation>
    <dataValidation type="list" allowBlank="1" showInputMessage="1" showErrorMessage="1" sqref="G32">
      <formula1>"Ⅰ～Ⅱ,Ⅰ～Ⅲ,"</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6"/>
  <sheetViews>
    <sheetView view="pageBreakPreview" zoomScale="130" zoomScaleNormal="130" zoomScaleSheetLayoutView="130" workbookViewId="0">
      <selection activeCell="G46" sqref="G46"/>
    </sheetView>
  </sheetViews>
  <sheetFormatPr defaultRowHeight="18.75"/>
  <cols>
    <col min="1" max="1" width="0.625" customWidth="1"/>
    <col min="2" max="3" width="3.375" style="49" customWidth="1"/>
    <col min="4" max="4" width="8.125" style="49" customWidth="1"/>
    <col min="5" max="5" width="1.75" customWidth="1"/>
    <col min="6" max="7" width="3.375" style="49" customWidth="1"/>
    <col min="8" max="8" width="8.125" style="49" customWidth="1"/>
    <col min="9" max="9" width="0.625" customWidth="1"/>
    <col min="10" max="10" width="3" customWidth="1"/>
    <col min="15" max="15" width="9" customWidth="1"/>
    <col min="16" max="16" width="3.25" customWidth="1"/>
  </cols>
  <sheetData>
    <row r="1" spans="1:16" ht="24">
      <c r="B1" s="334" t="s">
        <v>162</v>
      </c>
      <c r="C1" s="334"/>
      <c r="D1" s="334"/>
      <c r="E1" s="334"/>
      <c r="F1" s="334"/>
      <c r="G1" s="334"/>
      <c r="H1" s="334"/>
      <c r="I1" s="334"/>
      <c r="J1" s="334"/>
      <c r="K1" s="334"/>
      <c r="L1" s="334"/>
      <c r="M1" s="334"/>
      <c r="N1" s="334"/>
      <c r="O1" s="4"/>
    </row>
    <row r="2" spans="1:16" s="4" customFormat="1" ht="18.75" customHeight="1">
      <c r="B2" s="75"/>
      <c r="C2" s="75"/>
      <c r="D2" s="75"/>
      <c r="F2" s="75"/>
      <c r="G2" s="75"/>
      <c r="H2" s="75"/>
      <c r="O2" s="410">
        <f>改修履歴!A1</f>
        <v>1</v>
      </c>
      <c r="P2" s="410"/>
    </row>
    <row r="3" spans="1:16" s="4" customFormat="1" ht="19.5" customHeight="1" thickBot="1">
      <c r="B3" s="408" t="s">
        <v>38</v>
      </c>
      <c r="C3" s="408"/>
      <c r="D3" s="408"/>
      <c r="E3" s="408"/>
      <c r="F3" s="408"/>
      <c r="N3" s="409" t="s">
        <v>236</v>
      </c>
      <c r="O3" s="409"/>
    </row>
    <row r="4" spans="1:16" s="4" customFormat="1" ht="19.5" customHeight="1" thickBot="1">
      <c r="B4" s="401" t="str">
        <f>①基本情報!A7</f>
        <v>〇〇認定こども園</v>
      </c>
      <c r="C4" s="402"/>
      <c r="D4" s="402"/>
      <c r="E4" s="402"/>
      <c r="F4" s="402"/>
      <c r="G4" s="402"/>
      <c r="H4" s="402"/>
      <c r="I4" s="402"/>
      <c r="J4" s="402"/>
      <c r="K4" s="403"/>
      <c r="L4" s="126"/>
      <c r="M4" s="93"/>
      <c r="N4" s="399">
        <f>①基本情報!A4</f>
        <v>45748</v>
      </c>
      <c r="O4" s="400"/>
    </row>
    <row r="5" spans="1:16" s="4" customFormat="1" ht="15.75">
      <c r="B5" s="75"/>
      <c r="C5" s="75"/>
      <c r="D5" s="75"/>
      <c r="F5" s="75"/>
      <c r="G5" s="75"/>
      <c r="H5" s="75"/>
    </row>
    <row r="6" spans="1:16" s="4" customFormat="1" ht="16.5" thickBot="1">
      <c r="B6" s="75"/>
      <c r="C6" s="75"/>
      <c r="D6" s="75"/>
      <c r="F6" s="75"/>
      <c r="G6" s="75"/>
      <c r="H6" s="75"/>
    </row>
    <row r="7" spans="1:16" s="4" customFormat="1" ht="16.5" thickBot="1">
      <c r="A7" s="404" t="s">
        <v>129</v>
      </c>
      <c r="B7" s="405"/>
      <c r="C7" s="405"/>
      <c r="D7" s="405"/>
      <c r="E7" s="405"/>
      <c r="F7" s="405"/>
      <c r="G7" s="405"/>
      <c r="H7" s="405"/>
      <c r="I7" s="406"/>
      <c r="K7" s="398" t="s">
        <v>195</v>
      </c>
      <c r="L7" s="398"/>
      <c r="M7" s="398"/>
      <c r="N7" s="398"/>
      <c r="O7" s="398"/>
    </row>
    <row r="8" spans="1:16" s="4" customFormat="1" ht="17.25" thickBot="1">
      <c r="A8" s="97"/>
      <c r="B8" s="96" t="s">
        <v>116</v>
      </c>
      <c r="C8" s="10"/>
      <c r="D8" s="10"/>
      <c r="E8" s="93"/>
      <c r="F8" s="96" t="s">
        <v>117</v>
      </c>
      <c r="G8" s="10"/>
      <c r="H8" s="10"/>
      <c r="I8" s="98"/>
      <c r="K8" s="407" t="str">
        <f>"常勤 "&amp;③職員名簿!AB38&amp;" 人+ 非常勤 "&amp;③職員名簿!AD39&amp;"人"</f>
        <v>常勤 2 人+ 非常勤 0人</v>
      </c>
      <c r="L8" s="407"/>
      <c r="M8" s="407"/>
      <c r="N8" s="116" t="s">
        <v>137</v>
      </c>
      <c r="O8" s="85">
        <f>③職員名簿!AB38+③職員名簿!AD39</f>
        <v>2</v>
      </c>
      <c r="P8" s="4" t="s">
        <v>125</v>
      </c>
    </row>
    <row r="9" spans="1:16" s="4" customFormat="1" ht="15.75">
      <c r="A9" s="97"/>
      <c r="B9" s="77" t="str">
        <f>IF(①基本情報!H4="","",①基本情報!H4)</f>
        <v/>
      </c>
      <c r="C9" s="89">
        <v>1</v>
      </c>
      <c r="D9" s="89" t="s">
        <v>158</v>
      </c>
      <c r="E9" s="93"/>
      <c r="F9" s="77" t="str">
        <f>IF(①基本情報!H11="","",①基本情報!H11)</f>
        <v/>
      </c>
      <c r="G9" s="89">
        <v>1</v>
      </c>
      <c r="H9" s="89" t="s">
        <v>160</v>
      </c>
      <c r="I9" s="98"/>
      <c r="O9" s="4" t="str">
        <f>IF(O8-M19&lt;=0,"NG","")</f>
        <v/>
      </c>
    </row>
    <row r="10" spans="1:16" s="4" customFormat="1" ht="15.75">
      <c r="A10" s="97"/>
      <c r="B10" s="77" t="str">
        <f>IF(①基本情報!H5="","",①基本情報!H5)</f>
        <v/>
      </c>
      <c r="C10" s="89">
        <v>2</v>
      </c>
      <c r="D10" s="89" t="s">
        <v>119</v>
      </c>
      <c r="E10" s="93"/>
      <c r="F10" s="77" t="str">
        <f>IF(①基本情報!H12="-","",①基本情報!H12)</f>
        <v/>
      </c>
      <c r="G10" s="89">
        <v>2</v>
      </c>
      <c r="H10" s="89" t="s">
        <v>121</v>
      </c>
      <c r="I10" s="98"/>
      <c r="K10" s="397" t="s">
        <v>123</v>
      </c>
      <c r="L10" s="397"/>
      <c r="M10" s="397"/>
      <c r="N10" s="123"/>
    </row>
    <row r="11" spans="1:16" s="4" customFormat="1" ht="15.75">
      <c r="A11" s="97"/>
      <c r="B11" s="77" t="str">
        <f>IF(①基本情報!H6="","",①基本情報!H6)</f>
        <v/>
      </c>
      <c r="C11" s="89">
        <v>3</v>
      </c>
      <c r="D11" s="89" t="s">
        <v>118</v>
      </c>
      <c r="E11" s="93"/>
      <c r="F11" s="77" t="str">
        <f>IF(①基本情報!H13="","",①基本情報!H13)</f>
        <v/>
      </c>
      <c r="G11" s="89">
        <v>3</v>
      </c>
      <c r="H11" s="89" t="s">
        <v>159</v>
      </c>
      <c r="I11" s="98"/>
      <c r="K11" s="51"/>
      <c r="L11" s="51" t="s">
        <v>73</v>
      </c>
      <c r="M11" s="51" t="s">
        <v>74</v>
      </c>
    </row>
    <row r="12" spans="1:16" s="4" customFormat="1" ht="15.75" customHeight="1">
      <c r="A12" s="97"/>
      <c r="B12" s="77" t="str">
        <f>IF(①基本情報!H7="","",①基本情報!H7)</f>
        <v/>
      </c>
      <c r="C12" s="89">
        <v>4</v>
      </c>
      <c r="D12" s="89" t="s">
        <v>120</v>
      </c>
      <c r="E12" s="93"/>
      <c r="F12" s="77" t="str">
        <f>IF(①基本情報!H14="","",①基本情報!H14)</f>
        <v/>
      </c>
      <c r="G12" s="89">
        <v>4</v>
      </c>
      <c r="H12" s="89" t="s">
        <v>122</v>
      </c>
      <c r="I12" s="98"/>
      <c r="K12" s="51" t="s">
        <v>71</v>
      </c>
      <c r="L12" s="11">
        <f>②児童名簿!J13</f>
        <v>0</v>
      </c>
      <c r="M12" s="78">
        <f>ROUNDDOWN(L12/3,1)</f>
        <v>0</v>
      </c>
    </row>
    <row r="13" spans="1:16" s="4" customFormat="1" ht="15.75">
      <c r="A13" s="97"/>
      <c r="B13" s="77" t="str">
        <f>IF(①基本情報!H8="","",①基本情報!H8)</f>
        <v/>
      </c>
      <c r="C13" s="118">
        <v>5</v>
      </c>
      <c r="D13" s="118" t="s">
        <v>169</v>
      </c>
      <c r="E13" s="95"/>
      <c r="F13" s="77" t="str">
        <f>IF(①基本情報!H15="-","",①基本情報!H15)</f>
        <v/>
      </c>
      <c r="G13" s="89">
        <v>5</v>
      </c>
      <c r="H13" s="89" t="s">
        <v>120</v>
      </c>
      <c r="I13" s="98"/>
      <c r="K13" s="273" t="s">
        <v>324</v>
      </c>
      <c r="L13" s="11">
        <f>②児童名簿!K13</f>
        <v>0</v>
      </c>
      <c r="M13" s="78">
        <f>IF(B23="〇",ROUNDDOWN(L13/5,1),ROUNDDOWN(L13/6,1))</f>
        <v>0</v>
      </c>
    </row>
    <row r="14" spans="1:16" s="4" customFormat="1" ht="15.75">
      <c r="A14" s="97"/>
      <c r="B14" s="77" t="str">
        <f>IF(①基本情報!H9="","",①基本情報!H9)</f>
        <v/>
      </c>
      <c r="C14" s="269">
        <v>6</v>
      </c>
      <c r="D14" s="271" t="s">
        <v>308</v>
      </c>
      <c r="E14" s="95"/>
      <c r="F14" s="77" t="str">
        <f>IF(①基本情報!H16="-","",①基本情報!H16)</f>
        <v/>
      </c>
      <c r="G14" s="275">
        <v>6</v>
      </c>
      <c r="H14" s="274" t="s">
        <v>326</v>
      </c>
      <c r="I14" s="98"/>
      <c r="K14" s="51" t="s">
        <v>2</v>
      </c>
      <c r="L14" s="11">
        <f>②児童名簿!L13</f>
        <v>0</v>
      </c>
      <c r="M14" s="78">
        <f>ROUNDDOWN(L14/6,1)</f>
        <v>0</v>
      </c>
    </row>
    <row r="15" spans="1:16" s="4" customFormat="1" ht="15.75">
      <c r="A15" s="97"/>
      <c r="B15" s="77" t="str">
        <f>IF(①基本情報!H10="","",①基本情報!H10)</f>
        <v/>
      </c>
      <c r="C15" s="289">
        <v>7</v>
      </c>
      <c r="D15" s="287" t="s">
        <v>326</v>
      </c>
      <c r="E15" s="95"/>
      <c r="F15" s="80"/>
      <c r="G15" s="80"/>
      <c r="H15" s="255"/>
      <c r="I15" s="98"/>
      <c r="K15" s="51" t="s">
        <v>72</v>
      </c>
      <c r="L15" s="11">
        <f>②児童名簿!M13</f>
        <v>0</v>
      </c>
      <c r="M15" s="78">
        <f>IF(B24="〇",ROUNDDOWN(L15/15,1),ROUNDDOWN(L15/20,1))</f>
        <v>0</v>
      </c>
      <c r="N15" s="122"/>
    </row>
    <row r="16" spans="1:16" s="4" customFormat="1" ht="16.5" thickBot="1">
      <c r="A16" s="99"/>
      <c r="B16" s="100"/>
      <c r="C16" s="100" t="str">
        <f>IF(D16&gt;=2,"OK","")</f>
        <v/>
      </c>
      <c r="D16" s="101">
        <f>①基本情報!L2</f>
        <v>0</v>
      </c>
      <c r="E16" s="102"/>
      <c r="F16" s="103"/>
      <c r="G16" s="100" t="str">
        <f>IF(H16&gt;=2,"OK","")</f>
        <v/>
      </c>
      <c r="H16" s="104">
        <f>①基本情報!L3</f>
        <v>0</v>
      </c>
      <c r="I16" s="105"/>
      <c r="K16" s="51" t="s">
        <v>77</v>
      </c>
      <c r="L16" s="11">
        <f>②児童名簿!N13+②児童名簿!O13</f>
        <v>1</v>
      </c>
      <c r="M16" s="82">
        <f>IF(B26="〇",ROUNDDOWN(L16/25,1),ROUNDDOWN(L16/30,1))</f>
        <v>0</v>
      </c>
      <c r="N16" s="122"/>
    </row>
    <row r="17" spans="1:16" s="4" customFormat="1" ht="19.5" customHeight="1" thickBot="1">
      <c r="B17" s="10"/>
      <c r="C17" s="10"/>
      <c r="D17" s="94"/>
      <c r="E17" s="95"/>
      <c r="F17" s="80"/>
      <c r="G17" s="80"/>
      <c r="H17" s="81"/>
      <c r="K17" s="261" t="b">
        <f>IF(④加算!B13="〇","※３歳児配置改善加算適用")</f>
        <v>0</v>
      </c>
      <c r="L17" s="79" t="s">
        <v>75</v>
      </c>
      <c r="M17" s="84">
        <f>SUM(M12:M16)</f>
        <v>0</v>
      </c>
      <c r="N17" s="121"/>
      <c r="O17" s="93"/>
    </row>
    <row r="18" spans="1:16" s="4" customFormat="1" ht="16.5" thickBot="1">
      <c r="A18" s="389" t="s">
        <v>124</v>
      </c>
      <c r="B18" s="390"/>
      <c r="C18" s="390"/>
      <c r="D18" s="390"/>
      <c r="E18" s="390"/>
      <c r="F18" s="390"/>
      <c r="G18" s="390"/>
      <c r="H18" s="390"/>
      <c r="I18" s="391"/>
      <c r="K18" s="262" t="b">
        <f>IF(④加算!B15="〇","※4歳以上児配置改善加算適用")</f>
        <v>0</v>
      </c>
    </row>
    <row r="19" spans="1:16" s="4" customFormat="1" ht="16.5" thickBot="1">
      <c r="A19" s="97"/>
      <c r="B19" s="96" t="s">
        <v>65</v>
      </c>
      <c r="C19" s="10"/>
      <c r="D19" s="10"/>
      <c r="E19" s="83"/>
      <c r="F19" s="96" t="s">
        <v>49</v>
      </c>
      <c r="G19" s="10"/>
      <c r="H19" s="10"/>
      <c r="I19" s="98"/>
      <c r="K19" s="262" t="b">
        <f>IF(④加算!B12="〇","※1歳児配置改善加算適用")</f>
        <v>0</v>
      </c>
      <c r="M19" s="84">
        <f>ROUND(M17,0)</f>
        <v>0</v>
      </c>
      <c r="N19" s="4" t="s">
        <v>125</v>
      </c>
      <c r="O19" s="84">
        <f>O8-M19</f>
        <v>2</v>
      </c>
      <c r="P19" s="4" t="s">
        <v>125</v>
      </c>
    </row>
    <row r="20" spans="1:16" s="4" customFormat="1" ht="15.75">
      <c r="A20" s="97"/>
      <c r="B20" s="77" t="str">
        <f>IF(④加算!B9="","",④加算!B9)</f>
        <v>〇</v>
      </c>
      <c r="C20" s="89">
        <v>1</v>
      </c>
      <c r="D20" s="281" t="s">
        <v>335</v>
      </c>
      <c r="E20" s="83"/>
      <c r="F20" s="77" t="str">
        <f>IF(④加算!G9="","",④加算!G9)</f>
        <v/>
      </c>
      <c r="G20" s="89">
        <v>18</v>
      </c>
      <c r="H20" s="89" t="s">
        <v>147</v>
      </c>
      <c r="I20" s="98"/>
    </row>
    <row r="21" spans="1:16" s="4" customFormat="1" ht="15.75">
      <c r="A21" s="97"/>
      <c r="B21" s="77" t="str">
        <f>IF(④加算!B10="","",④加算!B10)</f>
        <v/>
      </c>
      <c r="C21" s="89">
        <v>2</v>
      </c>
      <c r="D21" s="89" t="s">
        <v>99</v>
      </c>
      <c r="E21" s="83"/>
      <c r="F21" s="77" t="str">
        <f>IF(④加算!G10="","",④加算!G10)</f>
        <v/>
      </c>
      <c r="G21" s="89">
        <v>19</v>
      </c>
      <c r="H21" s="89" t="s">
        <v>107</v>
      </c>
      <c r="I21" s="98"/>
      <c r="K21" s="396" t="s">
        <v>198</v>
      </c>
      <c r="L21" s="396"/>
      <c r="M21" s="139" t="str">
        <f>IF(O19&gt;=0,"満たしている","満たしていない")</f>
        <v>満たしている</v>
      </c>
    </row>
    <row r="22" spans="1:16" s="4" customFormat="1" ht="15.75">
      <c r="A22" s="97"/>
      <c r="B22" s="77" t="str">
        <f>IF(④加算!B11="","",④加算!B11)</f>
        <v/>
      </c>
      <c r="C22" s="89">
        <v>3</v>
      </c>
      <c r="D22" s="89" t="s">
        <v>103</v>
      </c>
      <c r="E22" s="83"/>
      <c r="F22" s="77" t="str">
        <f>IF(④加算!G11="","",④加算!H11)</f>
        <v/>
      </c>
      <c r="G22" s="89">
        <v>20</v>
      </c>
      <c r="H22" s="89" t="s">
        <v>148</v>
      </c>
      <c r="I22" s="98"/>
    </row>
    <row r="23" spans="1:16" s="4" customFormat="1" ht="15.75">
      <c r="A23" s="97"/>
      <c r="B23" s="77" t="str">
        <f>IF(④加算!B12="","",④加算!B12)</f>
        <v/>
      </c>
      <c r="C23" s="273">
        <v>4</v>
      </c>
      <c r="D23" s="273" t="s">
        <v>325</v>
      </c>
      <c r="E23" s="83"/>
      <c r="F23" s="77" t="str">
        <f>IF(④加算!G12="","",④加算!G12)</f>
        <v/>
      </c>
      <c r="G23" s="385">
        <v>21</v>
      </c>
      <c r="H23" s="89" t="s">
        <v>108</v>
      </c>
      <c r="I23" s="98"/>
      <c r="K23" s="394" t="s">
        <v>196</v>
      </c>
      <c r="L23" s="395"/>
      <c r="M23" s="395"/>
    </row>
    <row r="24" spans="1:16" s="4" customFormat="1" ht="16.5" customHeight="1" thickBot="1">
      <c r="A24" s="97"/>
      <c r="B24" s="77" t="str">
        <f>IF(④加算!B13="","",④加算!B13)</f>
        <v/>
      </c>
      <c r="C24" s="273">
        <v>5</v>
      </c>
      <c r="D24" s="89" t="s">
        <v>149</v>
      </c>
      <c r="E24" s="83"/>
      <c r="F24" s="77" t="str">
        <f>IF(④加算!G13="","",④加算!G13)</f>
        <v/>
      </c>
      <c r="G24" s="385"/>
      <c r="H24" s="89" t="s">
        <v>109</v>
      </c>
      <c r="I24" s="98"/>
      <c r="K24" s="393" t="s">
        <v>170</v>
      </c>
      <c r="L24" s="393"/>
      <c r="M24" s="120">
        <v>1</v>
      </c>
      <c r="N24" s="4" t="s">
        <v>125</v>
      </c>
    </row>
    <row r="25" spans="1:16" s="4" customFormat="1" ht="16.5" thickBot="1">
      <c r="A25" s="97"/>
      <c r="B25" s="77" t="str">
        <f>IF(④加算!B14="","",④加算!B14)</f>
        <v/>
      </c>
      <c r="C25" s="273">
        <v>6</v>
      </c>
      <c r="D25" s="89" t="s">
        <v>150</v>
      </c>
      <c r="E25" s="83"/>
      <c r="F25" s="77" t="str">
        <f>IF(④加算!G14="","",④加算!G14)</f>
        <v/>
      </c>
      <c r="G25" s="89">
        <v>22</v>
      </c>
      <c r="H25" s="89" t="s">
        <v>110</v>
      </c>
      <c r="I25" s="98"/>
      <c r="K25" s="393" t="s">
        <v>171</v>
      </c>
      <c r="L25" s="393"/>
      <c r="M25" s="259">
        <f>IF(B10="〇",1,0)</f>
        <v>0</v>
      </c>
      <c r="N25" s="4" t="s">
        <v>125</v>
      </c>
      <c r="O25" s="84">
        <f>O19-(M24+M25)</f>
        <v>1</v>
      </c>
      <c r="P25" s="4" t="s">
        <v>125</v>
      </c>
    </row>
    <row r="26" spans="1:16" s="4" customFormat="1" ht="15.75">
      <c r="A26" s="97"/>
      <c r="B26" s="77" t="str">
        <f>IF(④加算!B15="","",④加算!B15)</f>
        <v/>
      </c>
      <c r="C26" s="273">
        <v>7</v>
      </c>
      <c r="D26" s="260" t="s">
        <v>301</v>
      </c>
      <c r="E26" s="83"/>
      <c r="F26" s="77" t="str">
        <f>IF(④加算!G15="","",④加算!G15)</f>
        <v/>
      </c>
      <c r="G26" s="89">
        <v>23</v>
      </c>
      <c r="H26" s="89" t="s">
        <v>111</v>
      </c>
      <c r="I26" s="98"/>
    </row>
    <row r="27" spans="1:16" s="4" customFormat="1" ht="16.5" thickBot="1">
      <c r="A27" s="97"/>
      <c r="B27" s="77" t="str">
        <f>IF(④加算!B16="","",④加算!B16)</f>
        <v/>
      </c>
      <c r="C27" s="273">
        <v>8</v>
      </c>
      <c r="D27" s="89" t="s">
        <v>151</v>
      </c>
      <c r="E27" s="83"/>
      <c r="F27" s="297"/>
      <c r="G27" s="297"/>
      <c r="H27" s="297"/>
      <c r="I27" s="98"/>
      <c r="K27" s="392" t="str">
        <f>"２・３号利用定員＝ "&amp;SUM(①基本情報!H27:H28)&amp;" 人"</f>
        <v>２・３号利用定員＝ 0 人</v>
      </c>
      <c r="L27" s="392"/>
      <c r="M27" s="392"/>
    </row>
    <row r="28" spans="1:16" s="4" customFormat="1" ht="16.5" thickBot="1">
      <c r="A28" s="97"/>
      <c r="B28" s="77" t="str">
        <f>IF(④加算!B17="","",④加算!C17)</f>
        <v/>
      </c>
      <c r="C28" s="273">
        <v>9</v>
      </c>
      <c r="D28" s="89" t="s">
        <v>104</v>
      </c>
      <c r="E28" s="83"/>
      <c r="F28" s="96" t="s">
        <v>55</v>
      </c>
      <c r="G28" s="10"/>
      <c r="H28" s="10"/>
      <c r="I28" s="98"/>
      <c r="K28" s="385" t="s">
        <v>163</v>
      </c>
      <c r="L28" s="385"/>
      <c r="M28" s="77">
        <f>IF(SUM(①基本情報!H27:H28)&lt;=90,1,0)</f>
        <v>1</v>
      </c>
      <c r="N28" s="4" t="s">
        <v>125</v>
      </c>
      <c r="O28" s="84">
        <f>O25-M28</f>
        <v>0</v>
      </c>
      <c r="P28" s="4" t="s">
        <v>125</v>
      </c>
    </row>
    <row r="29" spans="1:16" s="4" customFormat="1" ht="15.75">
      <c r="A29" s="97"/>
      <c r="B29" s="77" t="str">
        <f>IF(④加算!B18="","",④加算!B18)</f>
        <v/>
      </c>
      <c r="C29" s="273">
        <v>10</v>
      </c>
      <c r="D29" s="89" t="s">
        <v>152</v>
      </c>
      <c r="E29" s="83"/>
      <c r="F29" s="77" t="str">
        <f>IF(④加算!G18="","",④加算!G18)</f>
        <v/>
      </c>
      <c r="G29" s="385">
        <v>24</v>
      </c>
      <c r="H29" s="89" t="s">
        <v>130</v>
      </c>
      <c r="I29" s="98"/>
      <c r="M29" s="130" t="str">
        <f>IF(M28=0,"（91人以上＝０）","（90人以下＝１）")</f>
        <v>（90人以下＝１）</v>
      </c>
    </row>
    <row r="30" spans="1:16" s="4" customFormat="1" ht="16.5" thickBot="1">
      <c r="A30" s="97"/>
      <c r="B30" s="77" t="str">
        <f>IF(④加算!B19="","",④加算!B19)</f>
        <v>〇</v>
      </c>
      <c r="C30" s="273">
        <v>11</v>
      </c>
      <c r="D30" s="89" t="s">
        <v>105</v>
      </c>
      <c r="E30" s="83"/>
      <c r="F30" s="77" t="str">
        <f>IF(④加算!G19="","",④加算!G19)</f>
        <v/>
      </c>
      <c r="G30" s="385"/>
      <c r="H30" s="89" t="s">
        <v>131</v>
      </c>
      <c r="I30" s="98"/>
      <c r="M30" s="130"/>
    </row>
    <row r="31" spans="1:16" s="4" customFormat="1" ht="16.5" thickBot="1">
      <c r="A31" s="97"/>
      <c r="B31" s="77" t="str">
        <f>IF(④加算!B20="","",④加算!B20)</f>
        <v/>
      </c>
      <c r="C31" s="273">
        <v>12</v>
      </c>
      <c r="D31" s="89" t="s">
        <v>153</v>
      </c>
      <c r="E31" s="83"/>
      <c r="F31" s="96" t="s">
        <v>56</v>
      </c>
      <c r="G31" s="10"/>
      <c r="H31" s="10"/>
      <c r="I31" s="98"/>
      <c r="K31" s="385" t="s">
        <v>164</v>
      </c>
      <c r="L31" s="385"/>
      <c r="M31" s="77">
        <v>1</v>
      </c>
      <c r="N31" s="4" t="s">
        <v>125</v>
      </c>
      <c r="O31" s="84">
        <f>O28-M31</f>
        <v>-1</v>
      </c>
      <c r="P31" s="4" t="s">
        <v>125</v>
      </c>
    </row>
    <row r="32" spans="1:16" s="4" customFormat="1" ht="15" customHeight="1">
      <c r="A32" s="97"/>
      <c r="B32" s="266" t="str">
        <f>IF(④加算!B21="","",④加算!C21)</f>
        <v/>
      </c>
      <c r="C32" s="273">
        <v>13</v>
      </c>
      <c r="D32" s="89" t="s">
        <v>154</v>
      </c>
      <c r="E32" s="83"/>
      <c r="F32" s="77" t="str">
        <f>IF(④加算!G21="","",④加算!H21)</f>
        <v/>
      </c>
      <c r="G32" s="89">
        <v>25</v>
      </c>
      <c r="H32" s="89" t="s">
        <v>112</v>
      </c>
      <c r="I32" s="98"/>
    </row>
    <row r="33" spans="1:17" s="4" customFormat="1" ht="15.75">
      <c r="A33" s="97"/>
      <c r="B33" s="77" t="str">
        <f>IF(④加算!B22="","",④加算!B22)</f>
        <v/>
      </c>
      <c r="C33" s="273">
        <v>14</v>
      </c>
      <c r="D33" s="89" t="s">
        <v>155</v>
      </c>
      <c r="E33" s="83"/>
      <c r="F33" s="77" t="str">
        <f>IF(④加算!G22="","",④加算!G22)</f>
        <v/>
      </c>
      <c r="G33" s="89">
        <v>26</v>
      </c>
      <c r="H33" s="89" t="s">
        <v>142</v>
      </c>
      <c r="I33" s="98"/>
    </row>
    <row r="34" spans="1:17" s="4" customFormat="1" ht="15.75">
      <c r="A34" s="97"/>
      <c r="B34" s="77" t="str">
        <f>IF(④加算!B23="","",④加算!B23)</f>
        <v/>
      </c>
      <c r="C34" s="273">
        <v>15</v>
      </c>
      <c r="D34" s="89" t="s">
        <v>156</v>
      </c>
      <c r="E34" s="83"/>
      <c r="F34" s="77" t="str">
        <f>IF(④加算!G23="","",④加算!G23)</f>
        <v/>
      </c>
      <c r="G34" s="89">
        <v>27</v>
      </c>
      <c r="H34" s="89" t="s">
        <v>143</v>
      </c>
      <c r="I34" s="98"/>
      <c r="K34" s="388"/>
      <c r="L34" s="388"/>
      <c r="M34" s="139" t="str">
        <f>IF(O31&gt;=0,"満たしている","満たしていない")</f>
        <v>満たしていない</v>
      </c>
    </row>
    <row r="35" spans="1:17" s="4" customFormat="1" ht="16.5" thickBot="1">
      <c r="A35" s="97"/>
      <c r="B35" s="77" t="str">
        <f>IF(④加算!B24="","",④加算!B24)</f>
        <v/>
      </c>
      <c r="C35" s="273">
        <v>16</v>
      </c>
      <c r="D35" s="89" t="s">
        <v>106</v>
      </c>
      <c r="E35" s="93"/>
      <c r="F35" s="77" t="str">
        <f>IF(④加算!G24="","",④加算!G24)</f>
        <v/>
      </c>
      <c r="G35" s="89">
        <v>28</v>
      </c>
      <c r="H35" s="89" t="s">
        <v>144</v>
      </c>
      <c r="I35" s="98"/>
    </row>
    <row r="36" spans="1:17" s="4" customFormat="1" ht="16.5" thickBot="1">
      <c r="A36" s="97"/>
      <c r="B36" s="77" t="str">
        <f>IF(④加算!B25="","",④加算!B25)</f>
        <v>〇</v>
      </c>
      <c r="C36" s="273">
        <v>17</v>
      </c>
      <c r="D36" s="89" t="s">
        <v>157</v>
      </c>
      <c r="E36" s="93"/>
      <c r="F36" s="77" t="str">
        <f>IF(④加算!G25="","",④加算!G25)</f>
        <v>〇</v>
      </c>
      <c r="G36" s="89">
        <v>29</v>
      </c>
      <c r="H36" s="281" t="s">
        <v>333</v>
      </c>
      <c r="I36" s="98"/>
      <c r="K36" s="350" t="s">
        <v>172</v>
      </c>
      <c r="L36" s="350"/>
      <c r="M36" s="120">
        <f>IF(B22="〇",1,0)</f>
        <v>0</v>
      </c>
      <c r="N36" s="4" t="s">
        <v>125</v>
      </c>
      <c r="O36" s="84">
        <f>O31-M36</f>
        <v>-1</v>
      </c>
      <c r="P36" s="4" t="s">
        <v>125</v>
      </c>
      <c r="Q36" s="154">
        <f>O36-ROUNDDOWN(O36,0)</f>
        <v>0</v>
      </c>
    </row>
    <row r="37" spans="1:17" s="4" customFormat="1" ht="16.5" thickBot="1">
      <c r="A37" s="97"/>
      <c r="B37" s="10"/>
      <c r="C37" s="10"/>
      <c r="D37" s="10"/>
      <c r="E37" s="93"/>
      <c r="F37" s="77" t="str">
        <f>IF(④加算!G26="","",④加算!G26)</f>
        <v>〇</v>
      </c>
      <c r="G37" s="89">
        <v>30</v>
      </c>
      <c r="H37" s="89" t="s">
        <v>113</v>
      </c>
      <c r="I37" s="98"/>
      <c r="K37" s="131"/>
      <c r="L37" s="131"/>
      <c r="M37" s="131"/>
      <c r="Q37" s="75">
        <f>IF(Q36&gt;=0.5,1,IF(Q36&gt;=0.3,0.5,0))</f>
        <v>0</v>
      </c>
    </row>
    <row r="38" spans="1:17" s="4" customFormat="1" ht="16.5" thickBot="1">
      <c r="A38" s="97"/>
      <c r="B38" s="10"/>
      <c r="C38" s="10"/>
      <c r="D38" s="10"/>
      <c r="E38" s="93"/>
      <c r="F38" s="77" t="str">
        <f>IF(④加算!G27="","",④加算!G27)</f>
        <v/>
      </c>
      <c r="G38" s="89">
        <v>31</v>
      </c>
      <c r="H38" s="89" t="s">
        <v>141</v>
      </c>
      <c r="I38" s="98"/>
      <c r="K38" s="386" t="str">
        <f>"１・２号利用定員(３歳児以上)＝ "&amp;④加算!M19&amp;" 人"</f>
        <v>１・２号利用定員(３歳児以上)＝ 0 人</v>
      </c>
      <c r="L38" s="386"/>
      <c r="M38" s="386"/>
      <c r="O38" s="84">
        <f>ROUNDDOWN(O36,0)+Q37</f>
        <v>-1</v>
      </c>
      <c r="P38" s="4" t="s">
        <v>125</v>
      </c>
      <c r="Q38" s="153" t="str">
        <f>IF(Q37=1,"切上げ",IF(Q37=0.5,"半切上げ","切捨て"))</f>
        <v>切捨て</v>
      </c>
    </row>
    <row r="39" spans="1:17" s="4" customFormat="1" ht="15.75">
      <c r="A39" s="97"/>
      <c r="B39" s="10"/>
      <c r="C39" s="10"/>
      <c r="D39" s="10"/>
      <c r="E39" s="93"/>
      <c r="F39" s="138" t="str">
        <f>IF(④加算!G28="","",④加算!G28)</f>
        <v/>
      </c>
      <c r="G39" s="138">
        <v>32</v>
      </c>
      <c r="H39" s="138" t="s">
        <v>114</v>
      </c>
      <c r="I39" s="98"/>
      <c r="K39" s="350" t="s">
        <v>166</v>
      </c>
      <c r="L39" s="350"/>
      <c r="M39" s="5" t="e">
        <f>④加算!L19</f>
        <v>#N/A</v>
      </c>
      <c r="N39" s="4" t="s">
        <v>125</v>
      </c>
      <c r="O39" s="155" t="s">
        <v>245</v>
      </c>
    </row>
    <row r="40" spans="1:17" s="4" customFormat="1" ht="15.75">
      <c r="A40" s="97"/>
      <c r="B40" s="10"/>
      <c r="C40" s="10"/>
      <c r="D40" s="10"/>
      <c r="E40" s="93"/>
      <c r="F40" s="138" t="str">
        <f>IF(④加算!G29="","",④加算!G29)</f>
        <v/>
      </c>
      <c r="G40" s="138">
        <v>33</v>
      </c>
      <c r="H40" s="138" t="s">
        <v>115</v>
      </c>
      <c r="I40" s="98"/>
      <c r="L40" s="387" t="e">
        <f>"　　　"&amp;M39&amp;"人以下？"</f>
        <v>#N/A</v>
      </c>
      <c r="M40" s="387"/>
      <c r="N40" s="119" t="str">
        <f>O38&amp;"人以下？"</f>
        <v>-1人以下？</v>
      </c>
    </row>
    <row r="41" spans="1:17" s="4" customFormat="1" ht="15.75">
      <c r="A41" s="97"/>
      <c r="B41" s="10"/>
      <c r="C41" s="10"/>
      <c r="D41" s="10"/>
      <c r="E41" s="93"/>
      <c r="F41" s="77" t="str">
        <f>IF(④加算!G30="","",④加算!G30)</f>
        <v/>
      </c>
      <c r="G41" s="89">
        <v>34</v>
      </c>
      <c r="H41" s="89" t="s">
        <v>138</v>
      </c>
      <c r="I41" s="98"/>
      <c r="K41" s="385" t="s">
        <v>165</v>
      </c>
      <c r="L41" s="385"/>
      <c r="M41" s="77" t="str">
        <f>B28</f>
        <v/>
      </c>
      <c r="N41" s="4" t="s">
        <v>125</v>
      </c>
    </row>
    <row r="42" spans="1:17" s="4" customFormat="1" ht="15.75">
      <c r="A42" s="97"/>
      <c r="B42" s="10"/>
      <c r="C42" s="10"/>
      <c r="D42" s="10"/>
      <c r="E42" s="93"/>
      <c r="F42" s="77" t="str">
        <f>IF(④加算!G31="","",④加算!G31)</f>
        <v/>
      </c>
      <c r="G42" s="89">
        <v>35</v>
      </c>
      <c r="H42" s="89" t="s">
        <v>145</v>
      </c>
      <c r="I42" s="98"/>
      <c r="M42" s="86" t="e">
        <f>IF(M39-M41&lt;0,"加算不可！",IF(O38-M41&lt;0,"加算不可！","加算OK"))</f>
        <v>#N/A</v>
      </c>
    </row>
    <row r="43" spans="1:17" s="4" customFormat="1" ht="15.75">
      <c r="A43" s="97"/>
      <c r="B43" s="10"/>
      <c r="C43" s="10"/>
      <c r="D43" s="10"/>
      <c r="E43" s="93"/>
      <c r="F43" s="268" t="str">
        <f>IF(④加算!G32="","",④加算!G32)</f>
        <v/>
      </c>
      <c r="G43" s="89">
        <v>36</v>
      </c>
      <c r="H43" s="89" t="s">
        <v>146</v>
      </c>
      <c r="I43" s="98"/>
    </row>
    <row r="44" spans="1:17" s="4" customFormat="1" ht="15.75">
      <c r="A44" s="97"/>
      <c r="B44" s="10"/>
      <c r="C44" s="10"/>
      <c r="D44" s="10"/>
      <c r="E44" s="93"/>
      <c r="F44" s="77" t="str">
        <f>IF(④加算!G33="","",④加算!H33)</f>
        <v/>
      </c>
      <c r="G44" s="89">
        <v>37</v>
      </c>
      <c r="H44" s="89" t="s">
        <v>139</v>
      </c>
      <c r="I44" s="98"/>
    </row>
    <row r="45" spans="1:17" s="4" customFormat="1" ht="15.75">
      <c r="A45" s="97"/>
      <c r="B45" s="10"/>
      <c r="C45" s="10"/>
      <c r="D45" s="10"/>
      <c r="E45" s="93"/>
      <c r="F45" s="77" t="str">
        <f>IF(④加算!G34="","",④加算!G34)</f>
        <v/>
      </c>
      <c r="G45" s="89">
        <v>38</v>
      </c>
      <c r="H45" s="89" t="s">
        <v>140</v>
      </c>
      <c r="I45" s="98"/>
    </row>
    <row r="46" spans="1:17" s="4" customFormat="1" ht="15.75">
      <c r="A46" s="97"/>
      <c r="B46" s="10"/>
      <c r="C46" s="10"/>
      <c r="D46" s="10"/>
      <c r="E46" s="93"/>
      <c r="F46" s="282"/>
      <c r="G46" s="282"/>
      <c r="H46" s="282"/>
      <c r="I46" s="98"/>
    </row>
    <row r="47" spans="1:17" s="4" customFormat="1" ht="16.5" thickBot="1">
      <c r="A47" s="99"/>
      <c r="B47" s="100"/>
      <c r="C47" s="100"/>
      <c r="D47" s="100"/>
      <c r="E47" s="283"/>
      <c r="F47" s="100"/>
      <c r="G47" s="100"/>
      <c r="H47" s="100"/>
      <c r="I47" s="105"/>
      <c r="K47" s="93"/>
      <c r="L47" s="93"/>
      <c r="M47" s="93"/>
      <c r="N47" s="93"/>
      <c r="O47" s="93"/>
      <c r="P47" s="93"/>
    </row>
    <row r="48" spans="1:17" s="4" customFormat="1" ht="15.75">
      <c r="A48" s="279"/>
      <c r="B48" s="10"/>
      <c r="C48" s="10"/>
      <c r="D48" s="10"/>
      <c r="E48" s="93"/>
      <c r="F48" s="75"/>
      <c r="G48" s="75"/>
      <c r="H48" s="10"/>
      <c r="I48" s="93"/>
    </row>
    <row r="49" spans="1:18" s="4" customFormat="1" ht="15.75">
      <c r="B49" s="75"/>
      <c r="C49" s="75"/>
      <c r="D49" s="10"/>
      <c r="F49" s="75"/>
      <c r="G49" s="75"/>
      <c r="H49" s="75"/>
      <c r="I49" s="93"/>
      <c r="J49" s="93"/>
    </row>
    <row r="50" spans="1:18">
      <c r="A50" s="4"/>
      <c r="B50" s="75"/>
      <c r="C50" s="75"/>
      <c r="D50" s="75"/>
      <c r="E50" s="4"/>
      <c r="F50" s="75"/>
      <c r="G50" s="75"/>
      <c r="H50" s="75"/>
      <c r="I50" s="4"/>
      <c r="J50" s="4"/>
      <c r="K50" s="4"/>
      <c r="L50" s="4"/>
      <c r="M50" s="4"/>
      <c r="N50" s="4"/>
      <c r="O50" s="4"/>
      <c r="P50" s="4"/>
      <c r="Q50" s="4"/>
      <c r="R50" s="4"/>
    </row>
    <row r="51" spans="1:18">
      <c r="A51" s="4"/>
      <c r="B51" s="75"/>
      <c r="C51" s="75"/>
      <c r="D51" s="75"/>
      <c r="E51" s="4"/>
      <c r="F51" s="75"/>
      <c r="G51" s="75"/>
      <c r="H51" s="75"/>
      <c r="I51" s="4"/>
      <c r="J51" s="4"/>
      <c r="K51" s="4"/>
      <c r="L51" s="4"/>
      <c r="M51" s="4"/>
      <c r="N51" s="4"/>
      <c r="O51" s="4"/>
      <c r="P51" s="4"/>
    </row>
    <row r="52" spans="1:18">
      <c r="A52" s="4"/>
      <c r="B52" s="75"/>
      <c r="C52" s="75"/>
      <c r="D52" s="75"/>
      <c r="E52" s="4"/>
      <c r="F52" s="75"/>
      <c r="G52" s="75"/>
      <c r="H52" s="75"/>
      <c r="I52" s="4"/>
      <c r="J52" s="4"/>
      <c r="K52" s="4"/>
      <c r="L52" s="4"/>
      <c r="M52" s="4"/>
      <c r="N52" s="4"/>
      <c r="O52" s="4"/>
      <c r="P52" s="4"/>
    </row>
    <row r="53" spans="1:18">
      <c r="B53" s="75"/>
      <c r="C53" s="75"/>
      <c r="D53" s="75"/>
      <c r="E53" s="4"/>
      <c r="F53" s="75"/>
      <c r="G53" s="75"/>
      <c r="H53" s="75"/>
      <c r="K53" s="4"/>
      <c r="L53" s="4"/>
      <c r="M53" s="4"/>
      <c r="N53" s="4"/>
      <c r="O53" s="4"/>
      <c r="P53" s="4"/>
    </row>
    <row r="54" spans="1:18">
      <c r="B54" s="75"/>
      <c r="C54" s="75"/>
      <c r="D54" s="75"/>
      <c r="E54" s="4"/>
      <c r="F54" s="75"/>
      <c r="G54" s="75"/>
      <c r="H54" s="75"/>
      <c r="K54" s="4"/>
      <c r="L54" s="4"/>
      <c r="M54" s="4"/>
      <c r="N54" s="4"/>
      <c r="O54" s="4"/>
      <c r="P54" s="4"/>
    </row>
    <row r="55" spans="1:18">
      <c r="B55" s="75"/>
      <c r="C55" s="75"/>
      <c r="D55" s="75"/>
      <c r="E55" s="4"/>
      <c r="F55" s="75"/>
      <c r="G55" s="75"/>
      <c r="H55" s="75"/>
      <c r="K55" s="4"/>
      <c r="L55" s="4"/>
      <c r="M55" s="4"/>
      <c r="N55" s="4"/>
      <c r="O55" s="4"/>
      <c r="P55" s="4"/>
    </row>
    <row r="56" spans="1:18">
      <c r="B56" s="75"/>
      <c r="C56" s="75"/>
      <c r="D56" s="75"/>
      <c r="E56" s="4"/>
      <c r="K56" s="4"/>
      <c r="L56" s="4"/>
      <c r="M56" s="4"/>
      <c r="N56" s="4"/>
      <c r="O56" s="4"/>
      <c r="P56" s="4"/>
    </row>
    <row r="57" spans="1:18">
      <c r="B57" s="75"/>
      <c r="C57" s="75"/>
      <c r="D57" s="75"/>
      <c r="E57" s="4"/>
      <c r="K57" s="4"/>
      <c r="L57" s="4"/>
      <c r="M57" s="4"/>
      <c r="N57" s="4"/>
      <c r="O57" s="4"/>
      <c r="P57" s="4"/>
    </row>
    <row r="58" spans="1:18">
      <c r="D58" s="75"/>
      <c r="K58" s="4"/>
      <c r="L58" s="4"/>
      <c r="M58" s="4"/>
      <c r="N58" s="4"/>
      <c r="O58" s="4"/>
      <c r="P58" s="4"/>
    </row>
    <row r="59" spans="1:18">
      <c r="K59" s="4"/>
      <c r="L59" s="4"/>
      <c r="M59" s="4"/>
      <c r="N59" s="4"/>
      <c r="O59" s="4"/>
      <c r="P59" s="4"/>
    </row>
    <row r="60" spans="1:18">
      <c r="K60" s="4"/>
      <c r="L60" s="4"/>
      <c r="M60" s="4"/>
      <c r="N60" s="4"/>
      <c r="O60" s="4"/>
      <c r="P60" s="4"/>
    </row>
    <row r="61" spans="1:18">
      <c r="K61" s="4"/>
      <c r="L61" s="4"/>
      <c r="M61" s="4"/>
      <c r="N61" s="4"/>
      <c r="O61" s="4"/>
      <c r="P61" s="4"/>
    </row>
    <row r="62" spans="1:18">
      <c r="K62" s="4"/>
      <c r="L62" s="4"/>
      <c r="M62" s="4"/>
      <c r="N62" s="4"/>
      <c r="O62" s="4"/>
      <c r="P62" s="4"/>
    </row>
    <row r="63" spans="1:18">
      <c r="K63" s="4"/>
      <c r="L63" s="4"/>
      <c r="M63" s="4"/>
      <c r="N63" s="4"/>
    </row>
    <row r="64" spans="1:18">
      <c r="K64" s="4"/>
      <c r="L64" s="4"/>
      <c r="M64" s="4"/>
      <c r="N64" s="4"/>
    </row>
    <row r="65" spans="11:14">
      <c r="K65" s="4"/>
      <c r="L65" s="4"/>
      <c r="M65" s="4"/>
      <c r="N65" s="4"/>
    </row>
    <row r="66" spans="11:14">
      <c r="N66" s="4"/>
    </row>
  </sheetData>
  <mergeCells count="26">
    <mergeCell ref="K10:M10"/>
    <mergeCell ref="K7:O7"/>
    <mergeCell ref="N4:O4"/>
    <mergeCell ref="B4:K4"/>
    <mergeCell ref="B1:N1"/>
    <mergeCell ref="A7:I7"/>
    <mergeCell ref="K8:M8"/>
    <mergeCell ref="B3:F3"/>
    <mergeCell ref="N3:O3"/>
    <mergeCell ref="O2:P2"/>
    <mergeCell ref="K28:L28"/>
    <mergeCell ref="A18:I18"/>
    <mergeCell ref="K27:M27"/>
    <mergeCell ref="G29:G30"/>
    <mergeCell ref="G23:G24"/>
    <mergeCell ref="K24:L24"/>
    <mergeCell ref="K25:L25"/>
    <mergeCell ref="K23:M23"/>
    <mergeCell ref="K21:L21"/>
    <mergeCell ref="K41:L41"/>
    <mergeCell ref="K31:L31"/>
    <mergeCell ref="K39:L39"/>
    <mergeCell ref="K38:M38"/>
    <mergeCell ref="L40:M40"/>
    <mergeCell ref="K36:L36"/>
    <mergeCell ref="K34:L34"/>
  </mergeCells>
  <phoneticPr fontId="1"/>
  <pageMargins left="0.51181102362204722" right="0.51181102362204722" top="0.55118110236220474" bottom="0.55118110236220474" header="0.31496062992125984" footer="0.31496062992125984"/>
  <pageSetup paperSize="9" scale="9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37"/>
  <sheetViews>
    <sheetView view="pageBreakPreview" zoomScale="112" zoomScaleNormal="100" zoomScaleSheetLayoutView="112" workbookViewId="0">
      <selection activeCell="K31" sqref="K31"/>
    </sheetView>
  </sheetViews>
  <sheetFormatPr defaultRowHeight="18.75"/>
  <cols>
    <col min="1" max="1" width="5" customWidth="1"/>
    <col min="2" max="4" width="14.625" customWidth="1"/>
    <col min="5" max="5" width="7.125" style="183" bestFit="1" customWidth="1"/>
    <col min="6" max="6" width="11.375" customWidth="1"/>
    <col min="8" max="8" width="5.875" customWidth="1"/>
  </cols>
  <sheetData>
    <row r="1" spans="2:12" ht="30.75" customHeight="1">
      <c r="B1" s="416" t="s">
        <v>266</v>
      </c>
      <c r="C1" s="417"/>
      <c r="D1" s="417"/>
      <c r="E1" s="417"/>
      <c r="F1" s="417"/>
      <c r="G1" s="417"/>
      <c r="H1" s="205"/>
      <c r="I1" s="205"/>
      <c r="J1" s="205"/>
      <c r="K1" s="205"/>
      <c r="L1" s="205"/>
    </row>
    <row r="2" spans="2:12" ht="8.25" customHeight="1"/>
    <row r="3" spans="2:12" s="207" customFormat="1" ht="26.25" thickBot="1">
      <c r="B3" s="206" t="s">
        <v>38</v>
      </c>
      <c r="C3" s="206"/>
      <c r="D3" s="206"/>
    </row>
    <row r="4" spans="2:12" s="207" customFormat="1" ht="26.25" thickBot="1">
      <c r="B4" s="411" t="str">
        <f>①基本情報!A7</f>
        <v>〇〇認定こども園</v>
      </c>
      <c r="C4" s="412"/>
      <c r="D4" s="352"/>
      <c r="E4" s="208"/>
      <c r="F4" s="208"/>
      <c r="G4" s="208"/>
    </row>
    <row r="5" spans="2:12" s="207" customFormat="1" ht="25.5">
      <c r="B5" t="s">
        <v>277</v>
      </c>
      <c r="C5" s="209"/>
      <c r="D5" s="209"/>
      <c r="E5" s="208"/>
      <c r="F5" s="208"/>
      <c r="G5" s="208"/>
    </row>
    <row r="6" spans="2:12" s="207" customFormat="1" ht="25.5">
      <c r="B6" s="413" t="s">
        <v>123</v>
      </c>
      <c r="C6" s="413"/>
      <c r="D6" s="413"/>
      <c r="E6" s="208"/>
      <c r="F6" s="208"/>
      <c r="G6" s="208"/>
    </row>
    <row r="7" spans="2:12" s="207" customFormat="1" ht="25.5">
      <c r="B7" s="185"/>
      <c r="C7" s="185" t="s">
        <v>73</v>
      </c>
      <c r="D7" s="185" t="s">
        <v>74</v>
      </c>
      <c r="E7" s="208"/>
      <c r="F7" s="208"/>
      <c r="G7" s="208"/>
    </row>
    <row r="8" spans="2:12" s="207" customFormat="1" ht="25.5">
      <c r="B8" s="185" t="s">
        <v>71</v>
      </c>
      <c r="C8" s="213">
        <f>②児童名簿!J13</f>
        <v>0</v>
      </c>
      <c r="D8" s="214">
        <f>ROUNDDOWN(C8/3,1)</f>
        <v>0</v>
      </c>
      <c r="E8" s="208"/>
      <c r="F8" s="208"/>
      <c r="G8" s="208"/>
    </row>
    <row r="9" spans="2:12" s="207" customFormat="1" ht="25.5">
      <c r="B9" s="185" t="s">
        <v>76</v>
      </c>
      <c r="C9" s="213">
        <f>②児童名簿!K13+②児童名簿!L13</f>
        <v>0</v>
      </c>
      <c r="D9" s="214">
        <f>ROUNDDOWN(C9/6,1)</f>
        <v>0</v>
      </c>
      <c r="E9" s="208"/>
      <c r="F9" s="208"/>
      <c r="G9" s="208"/>
    </row>
    <row r="10" spans="2:12" s="207" customFormat="1" ht="25.5">
      <c r="B10" s="185" t="s">
        <v>72</v>
      </c>
      <c r="C10" s="213">
        <f>②児童名簿!M13</f>
        <v>0</v>
      </c>
      <c r="D10" s="214">
        <f>ROUNDDOWN(C10/20,1)</f>
        <v>0</v>
      </c>
      <c r="E10" s="208"/>
      <c r="F10" s="208"/>
      <c r="G10" s="208"/>
    </row>
    <row r="11" spans="2:12" s="207" customFormat="1" ht="25.5">
      <c r="B11" s="185" t="s">
        <v>77</v>
      </c>
      <c r="C11" s="213">
        <f>②児童名簿!N13+②児童名簿!O13</f>
        <v>1</v>
      </c>
      <c r="D11" s="214">
        <f>ROUNDDOWN(C11/30,1)</f>
        <v>0</v>
      </c>
      <c r="E11" s="208"/>
      <c r="F11" s="208"/>
      <c r="G11" s="208"/>
    </row>
    <row r="12" spans="2:12" s="207" customFormat="1" ht="25.5">
      <c r="B12" s="80"/>
      <c r="C12" s="80"/>
      <c r="D12" s="215">
        <f>SUM(D8:D11)</f>
        <v>0</v>
      </c>
      <c r="E12" s="208" t="s">
        <v>278</v>
      </c>
      <c r="F12" s="212">
        <f>ROUND(D1:D12,0)</f>
        <v>0</v>
      </c>
      <c r="G12" s="210"/>
    </row>
    <row r="13" spans="2:12" ht="24" customHeight="1">
      <c r="B13" s="69"/>
      <c r="C13" s="69"/>
      <c r="D13" s="69"/>
      <c r="E13" s="69"/>
      <c r="F13" s="69"/>
      <c r="G13" s="69"/>
    </row>
    <row r="14" spans="2:12">
      <c r="B14" t="s">
        <v>275</v>
      </c>
      <c r="E14" s="183" t="s">
        <v>270</v>
      </c>
      <c r="F14" s="211">
        <f>③職員名簿!$AE$39+③職員名簿!$S$15+③職員名簿!$S$16</f>
        <v>2</v>
      </c>
    </row>
    <row r="15" spans="2:12">
      <c r="B15" t="s">
        <v>276</v>
      </c>
      <c r="E15" s="183" t="s">
        <v>271</v>
      </c>
      <c r="F15" s="211">
        <f>F12</f>
        <v>0</v>
      </c>
    </row>
    <row r="16" spans="2:12">
      <c r="B16" t="s">
        <v>267</v>
      </c>
      <c r="E16" s="183" t="s">
        <v>272</v>
      </c>
      <c r="F16" s="211">
        <f>⑤集計表!M24</f>
        <v>1</v>
      </c>
    </row>
    <row r="17" spans="2:8">
      <c r="B17" t="s">
        <v>268</v>
      </c>
      <c r="E17" s="183" t="s">
        <v>273</v>
      </c>
      <c r="F17" s="211">
        <f>⑤集計表!M28</f>
        <v>1</v>
      </c>
    </row>
    <row r="18" spans="2:8">
      <c r="B18" t="s">
        <v>269</v>
      </c>
      <c r="E18" s="183" t="s">
        <v>274</v>
      </c>
      <c r="F18" s="211">
        <f>⑤集計表!M31</f>
        <v>1</v>
      </c>
    </row>
    <row r="19" spans="2:8" ht="19.5" thickBot="1"/>
    <row r="20" spans="2:8" ht="26.25" thickBot="1">
      <c r="B20" t="s">
        <v>279</v>
      </c>
      <c r="E20" s="183" t="s">
        <v>280</v>
      </c>
      <c r="F20" s="216">
        <f>F14-F15-F16-F17-F18</f>
        <v>-1</v>
      </c>
      <c r="H20" t="s">
        <v>289</v>
      </c>
    </row>
    <row r="21" spans="2:8">
      <c r="B21" t="s">
        <v>281</v>
      </c>
    </row>
    <row r="22" spans="2:8" ht="9" customHeight="1">
      <c r="E22" s="186"/>
    </row>
    <row r="23" spans="2:8" ht="19.5" thickBot="1">
      <c r="B23" t="s">
        <v>290</v>
      </c>
      <c r="E23" s="186"/>
    </row>
    <row r="24" spans="2:8">
      <c r="B24" s="418" t="s">
        <v>284</v>
      </c>
      <c r="C24" s="419"/>
      <c r="D24" s="219" t="s">
        <v>285</v>
      </c>
      <c r="E24" s="224"/>
      <c r="F24" s="220" t="s">
        <v>125</v>
      </c>
    </row>
    <row r="25" spans="2:8">
      <c r="B25" s="420"/>
      <c r="C25" s="421"/>
      <c r="D25" s="217" t="s">
        <v>286</v>
      </c>
      <c r="E25" s="225"/>
      <c r="F25" s="221" t="s">
        <v>125</v>
      </c>
    </row>
    <row r="26" spans="2:8">
      <c r="B26" s="420"/>
      <c r="C26" s="421"/>
      <c r="D26" s="218" t="s">
        <v>287</v>
      </c>
      <c r="E26" s="226"/>
      <c r="F26" s="222" t="s">
        <v>125</v>
      </c>
    </row>
    <row r="27" spans="2:8" ht="36.75" customHeight="1" thickBot="1">
      <c r="B27" s="422" t="s">
        <v>288</v>
      </c>
      <c r="C27" s="423"/>
      <c r="D27" s="423"/>
      <c r="E27" s="227"/>
      <c r="F27" s="223" t="s">
        <v>125</v>
      </c>
    </row>
    <row r="28" spans="2:8">
      <c r="B28" s="414" t="s">
        <v>282</v>
      </c>
      <c r="C28" s="414"/>
      <c r="D28" s="414"/>
      <c r="E28" s="414"/>
      <c r="F28" s="414"/>
      <c r="G28" s="414"/>
    </row>
    <row r="29" spans="2:8">
      <c r="B29" s="414"/>
      <c r="C29" s="414"/>
      <c r="D29" s="414"/>
      <c r="E29" s="414"/>
      <c r="F29" s="414"/>
      <c r="G29" s="414"/>
    </row>
    <row r="30" spans="2:8">
      <c r="B30" s="414"/>
      <c r="C30" s="414"/>
      <c r="D30" s="414"/>
      <c r="E30" s="414"/>
      <c r="F30" s="414"/>
      <c r="G30" s="414"/>
    </row>
    <row r="31" spans="2:8">
      <c r="B31" s="414"/>
      <c r="C31" s="414"/>
      <c r="D31" s="414"/>
      <c r="E31" s="414"/>
      <c r="F31" s="414"/>
      <c r="G31" s="414"/>
    </row>
    <row r="32" spans="2:8">
      <c r="B32" s="414"/>
      <c r="C32" s="414"/>
      <c r="D32" s="414"/>
      <c r="E32" s="414"/>
      <c r="F32" s="414"/>
      <c r="G32" s="414"/>
    </row>
    <row r="33" spans="2:7">
      <c r="B33" s="415" t="s">
        <v>327</v>
      </c>
      <c r="C33" s="415"/>
      <c r="D33" s="415"/>
      <c r="E33" s="415"/>
      <c r="F33" s="415"/>
      <c r="G33" s="415"/>
    </row>
    <row r="34" spans="2:7" ht="18.75" hidden="1" customHeight="1">
      <c r="B34" s="415"/>
      <c r="C34" s="415"/>
      <c r="D34" s="415"/>
      <c r="E34" s="415"/>
      <c r="F34" s="415"/>
      <c r="G34" s="415"/>
    </row>
    <row r="35" spans="2:7" ht="18.75" hidden="1" customHeight="1">
      <c r="B35" s="415"/>
      <c r="C35" s="415"/>
      <c r="D35" s="415"/>
      <c r="E35" s="415"/>
      <c r="F35" s="415"/>
      <c r="G35" s="415"/>
    </row>
    <row r="36" spans="2:7" ht="18.75" hidden="1" customHeight="1">
      <c r="B36" s="415"/>
      <c r="C36" s="415"/>
      <c r="D36" s="415"/>
      <c r="E36" s="415"/>
      <c r="F36" s="415"/>
      <c r="G36" s="415"/>
    </row>
    <row r="37" spans="2:7" ht="18.75" hidden="1" customHeight="1">
      <c r="B37" s="415"/>
      <c r="C37" s="415"/>
      <c r="D37" s="415"/>
      <c r="E37" s="415"/>
      <c r="F37" s="415"/>
      <c r="G37" s="415"/>
    </row>
  </sheetData>
  <mergeCells count="7">
    <mergeCell ref="B4:D4"/>
    <mergeCell ref="B6:D6"/>
    <mergeCell ref="B28:G32"/>
    <mergeCell ref="B33:G37"/>
    <mergeCell ref="B1:G1"/>
    <mergeCell ref="B24:C26"/>
    <mergeCell ref="B27:D27"/>
  </mergeCells>
  <phoneticPr fontId="1"/>
  <conditionalFormatting sqref="E24:E27">
    <cfRule type="containsBlanks" dxfId="0" priority="1">
      <formula>LEN(TRIM(E24))=0</formula>
    </cfRule>
  </conditionalFormatting>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4"/>
  <sheetViews>
    <sheetView view="pageBreakPreview" zoomScale="85" zoomScaleNormal="100" zoomScaleSheetLayoutView="85" workbookViewId="0">
      <selection activeCell="S10" sqref="S10"/>
    </sheetView>
  </sheetViews>
  <sheetFormatPr defaultRowHeight="18.75"/>
  <sheetData>
    <row r="1" spans="1:13">
      <c r="A1" t="s">
        <v>343</v>
      </c>
      <c r="M1" s="148">
        <f>改修履歴!A1</f>
        <v>1</v>
      </c>
    </row>
    <row r="21" spans="1:13">
      <c r="A21" s="127" t="s">
        <v>176</v>
      </c>
      <c r="B21" s="417" t="s">
        <v>178</v>
      </c>
      <c r="C21" s="417"/>
      <c r="D21" s="417"/>
      <c r="E21" s="417"/>
      <c r="F21" s="417"/>
      <c r="G21" s="417"/>
      <c r="H21" s="417"/>
      <c r="I21" s="417"/>
      <c r="J21" s="417"/>
      <c r="K21" s="417"/>
      <c r="L21" s="417"/>
      <c r="M21" s="417"/>
    </row>
    <row r="22" spans="1:13" ht="38.25" customHeight="1">
      <c r="A22" s="128" t="s">
        <v>177</v>
      </c>
      <c r="B22" s="424" t="s">
        <v>181</v>
      </c>
      <c r="C22" s="424"/>
      <c r="D22" s="424"/>
      <c r="E22" s="424"/>
      <c r="F22" s="424"/>
      <c r="G22" s="424"/>
      <c r="H22" s="424"/>
      <c r="I22" s="424"/>
      <c r="J22" s="424"/>
      <c r="K22" s="424"/>
      <c r="L22" s="424"/>
      <c r="M22" s="424"/>
    </row>
    <row r="23" spans="1:13" ht="37.5" customHeight="1">
      <c r="A23" s="128" t="s">
        <v>179</v>
      </c>
      <c r="B23" s="425" t="s">
        <v>180</v>
      </c>
      <c r="C23" s="425"/>
      <c r="D23" s="425"/>
      <c r="E23" s="425"/>
      <c r="F23" s="425"/>
      <c r="G23" s="425"/>
      <c r="H23" s="425"/>
      <c r="I23" s="425"/>
      <c r="J23" s="425"/>
      <c r="K23" s="425"/>
      <c r="L23" s="425"/>
      <c r="M23" s="425"/>
    </row>
    <row r="24" spans="1:13">
      <c r="M24" s="129" t="s">
        <v>182</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56"/>
  <sheetViews>
    <sheetView showGridLines="0" view="pageBreakPreview" zoomScale="89" zoomScaleNormal="55" zoomScaleSheetLayoutView="89" workbookViewId="0">
      <selection activeCell="U14" sqref="U14"/>
    </sheetView>
  </sheetViews>
  <sheetFormatPr defaultRowHeight="18.75"/>
  <cols>
    <col min="15" max="15" width="8.875" customWidth="1"/>
    <col min="28" max="28" width="4.5" customWidth="1"/>
  </cols>
  <sheetData>
    <row r="1" spans="1:28">
      <c r="A1" s="426" t="s">
        <v>340</v>
      </c>
      <c r="B1" s="427"/>
      <c r="C1" s="427"/>
      <c r="D1" s="427"/>
      <c r="E1" s="427"/>
      <c r="F1" s="427"/>
      <c r="G1" s="427"/>
      <c r="H1" s="427"/>
      <c r="AB1" s="147"/>
    </row>
    <row r="2" spans="1:28">
      <c r="A2" s="427"/>
      <c r="B2" s="427"/>
      <c r="C2" s="427"/>
      <c r="D2" s="427"/>
      <c r="E2" s="427"/>
      <c r="F2" s="427"/>
      <c r="G2" s="427"/>
      <c r="H2" s="427"/>
    </row>
    <row r="37" spans="21:21">
      <c r="U37" t="s">
        <v>299</v>
      </c>
    </row>
    <row r="56" spans="28:28">
      <c r="AB56" s="129" t="s">
        <v>183</v>
      </c>
    </row>
  </sheetData>
  <mergeCells count="1">
    <mergeCell ref="A1:H2"/>
  </mergeCells>
  <phoneticPr fontId="1"/>
  <pageMargins left="0.7" right="0.7" top="0.75" bottom="0.75" header="0.3" footer="0.3"/>
  <pageSetup paperSize="9" scale="4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5"/>
  <sheetViews>
    <sheetView workbookViewId="0">
      <pane ySplit="2" topLeftCell="A3" activePane="bottomLeft" state="frozen"/>
      <selection pane="bottomLeft" activeCell="C49" sqref="C49"/>
    </sheetView>
  </sheetViews>
  <sheetFormatPr defaultRowHeight="18.75"/>
  <cols>
    <col min="1" max="1" width="7.25" customWidth="1"/>
    <col min="2" max="2" width="11.375" bestFit="1" customWidth="1"/>
    <col min="3" max="3" width="78.75" style="182" customWidth="1"/>
  </cols>
  <sheetData>
    <row r="1" spans="1:3" ht="26.25" thickBot="1">
      <c r="A1" s="428">
        <v>1</v>
      </c>
      <c r="B1" s="429"/>
      <c r="C1" s="180"/>
    </row>
    <row r="2" spans="1:3">
      <c r="A2" s="145" t="s">
        <v>203</v>
      </c>
      <c r="B2" s="146" t="s">
        <v>204</v>
      </c>
      <c r="C2" s="181" t="s">
        <v>207</v>
      </c>
    </row>
    <row r="3" spans="1:3" hidden="1">
      <c r="A3" s="52">
        <v>0.1</v>
      </c>
      <c r="B3" s="140">
        <v>44046</v>
      </c>
      <c r="C3" s="163" t="s">
        <v>226</v>
      </c>
    </row>
    <row r="4" spans="1:3" hidden="1">
      <c r="A4" s="52">
        <v>0.11</v>
      </c>
      <c r="B4" s="140">
        <v>44047</v>
      </c>
      <c r="C4" s="163" t="s">
        <v>205</v>
      </c>
    </row>
    <row r="5" spans="1:3" hidden="1">
      <c r="A5" s="52"/>
      <c r="B5" s="52"/>
      <c r="C5" s="163" t="s">
        <v>206</v>
      </c>
    </row>
    <row r="6" spans="1:3" ht="37.5" hidden="1">
      <c r="A6" s="52">
        <v>0.12</v>
      </c>
      <c r="B6" s="140">
        <v>44098</v>
      </c>
      <c r="C6" s="163" t="s">
        <v>208</v>
      </c>
    </row>
    <row r="7" spans="1:3" ht="37.5" hidden="1">
      <c r="A7" s="52"/>
      <c r="B7" s="52"/>
      <c r="C7" s="163" t="s">
        <v>209</v>
      </c>
    </row>
    <row r="8" spans="1:3" hidden="1">
      <c r="A8" s="52"/>
      <c r="B8" s="52"/>
      <c r="C8" s="163" t="s">
        <v>225</v>
      </c>
    </row>
    <row r="9" spans="1:3" ht="37.5" hidden="1">
      <c r="A9" s="52">
        <v>0.2</v>
      </c>
      <c r="B9" s="140">
        <v>44167</v>
      </c>
      <c r="C9" s="163" t="s">
        <v>227</v>
      </c>
    </row>
    <row r="10" spans="1:3" ht="37.5" hidden="1">
      <c r="A10" s="52"/>
      <c r="B10" s="52"/>
      <c r="C10" s="163" t="s">
        <v>229</v>
      </c>
    </row>
    <row r="11" spans="1:3" hidden="1">
      <c r="A11" s="52"/>
      <c r="B11" s="52"/>
      <c r="C11" s="163" t="s">
        <v>230</v>
      </c>
    </row>
    <row r="12" spans="1:3" hidden="1">
      <c r="A12" s="52"/>
      <c r="B12" s="52"/>
      <c r="C12" s="163" t="s">
        <v>232</v>
      </c>
    </row>
    <row r="13" spans="1:3" hidden="1">
      <c r="A13" s="52"/>
      <c r="B13" s="52"/>
      <c r="C13" s="163" t="s">
        <v>233</v>
      </c>
    </row>
    <row r="14" spans="1:3" hidden="1">
      <c r="A14" s="52"/>
      <c r="B14" s="52"/>
      <c r="C14" s="163" t="s">
        <v>234</v>
      </c>
    </row>
    <row r="15" spans="1:3" hidden="1">
      <c r="A15" s="52"/>
      <c r="B15" s="52"/>
      <c r="C15" s="163" t="s">
        <v>235</v>
      </c>
    </row>
    <row r="16" spans="1:3" hidden="1">
      <c r="A16" s="52"/>
      <c r="B16" s="52"/>
      <c r="C16" s="163" t="s">
        <v>238</v>
      </c>
    </row>
    <row r="17" spans="1:3" hidden="1">
      <c r="A17" s="52">
        <v>0.21</v>
      </c>
      <c r="B17" s="140">
        <v>44189</v>
      </c>
      <c r="C17" s="163" t="s">
        <v>239</v>
      </c>
    </row>
    <row r="18" spans="1:3" hidden="1">
      <c r="A18" s="52"/>
      <c r="B18" s="52"/>
      <c r="C18" s="163" t="s">
        <v>240</v>
      </c>
    </row>
    <row r="19" spans="1:3" ht="37.5" hidden="1">
      <c r="A19" s="52">
        <v>0.22</v>
      </c>
      <c r="B19" s="140">
        <v>44221</v>
      </c>
      <c r="C19" s="163" t="s">
        <v>246</v>
      </c>
    </row>
    <row r="20" spans="1:3" ht="37.5" hidden="1">
      <c r="A20" s="52"/>
      <c r="B20" s="52"/>
      <c r="C20" s="163" t="s">
        <v>247</v>
      </c>
    </row>
    <row r="21" spans="1:3" hidden="1">
      <c r="A21" s="52">
        <v>0.23</v>
      </c>
      <c r="B21" s="140">
        <v>44323</v>
      </c>
      <c r="C21" s="163" t="s">
        <v>249</v>
      </c>
    </row>
    <row r="22" spans="1:3" ht="56.25" hidden="1">
      <c r="A22" s="162">
        <v>0.24</v>
      </c>
      <c r="B22" s="140">
        <v>44371</v>
      </c>
      <c r="C22" s="163" t="s">
        <v>250</v>
      </c>
    </row>
    <row r="23" spans="1:3" hidden="1">
      <c r="A23" s="162">
        <v>1</v>
      </c>
      <c r="B23" s="140">
        <v>44371</v>
      </c>
      <c r="C23" s="163" t="s">
        <v>251</v>
      </c>
    </row>
    <row r="24" spans="1:3" hidden="1">
      <c r="A24" s="52">
        <v>0</v>
      </c>
      <c r="B24" s="140">
        <v>44552</v>
      </c>
      <c r="C24" s="163" t="s">
        <v>252</v>
      </c>
    </row>
    <row r="25" spans="1:3" hidden="1">
      <c r="A25" s="430">
        <v>0.01</v>
      </c>
      <c r="B25" s="140">
        <v>44573</v>
      </c>
      <c r="C25" s="163" t="s">
        <v>260</v>
      </c>
    </row>
    <row r="26" spans="1:3" hidden="1">
      <c r="A26" s="431"/>
      <c r="B26" s="52"/>
      <c r="C26" s="163" t="s">
        <v>261</v>
      </c>
    </row>
    <row r="27" spans="1:3" hidden="1">
      <c r="A27" s="162">
        <v>0.99</v>
      </c>
      <c r="B27" s="140">
        <v>44656</v>
      </c>
      <c r="C27" s="163" t="s">
        <v>263</v>
      </c>
    </row>
    <row r="28" spans="1:3" hidden="1">
      <c r="A28" s="52"/>
      <c r="B28" s="52"/>
      <c r="C28" s="163"/>
    </row>
    <row r="29" spans="1:3" hidden="1">
      <c r="A29" s="52">
        <v>0</v>
      </c>
      <c r="B29" s="52"/>
      <c r="C29" s="163" t="s">
        <v>264</v>
      </c>
    </row>
    <row r="30" spans="1:3" hidden="1">
      <c r="A30" s="52"/>
      <c r="B30" s="52"/>
      <c r="C30" s="163" t="s">
        <v>265</v>
      </c>
    </row>
    <row r="31" spans="1:3" hidden="1">
      <c r="A31" s="52">
        <v>0.2</v>
      </c>
      <c r="B31" s="140">
        <v>44966</v>
      </c>
      <c r="C31" s="163" t="s">
        <v>283</v>
      </c>
    </row>
    <row r="32" spans="1:3" hidden="1">
      <c r="A32" s="52">
        <v>0.5</v>
      </c>
      <c r="B32" s="140">
        <v>45013</v>
      </c>
      <c r="C32" s="163" t="s">
        <v>291</v>
      </c>
    </row>
    <row r="33" spans="1:3" hidden="1">
      <c r="A33" s="52">
        <v>0.99</v>
      </c>
      <c r="B33" s="140">
        <v>45015</v>
      </c>
      <c r="C33" s="163" t="s">
        <v>292</v>
      </c>
    </row>
    <row r="34" spans="1:3" hidden="1">
      <c r="A34" s="52"/>
      <c r="B34" s="140">
        <v>45093</v>
      </c>
      <c r="C34" s="163" t="s">
        <v>298</v>
      </c>
    </row>
    <row r="35" spans="1:3" hidden="1">
      <c r="A35" s="52"/>
      <c r="B35" s="52"/>
      <c r="C35" s="163"/>
    </row>
    <row r="36" spans="1:3" hidden="1">
      <c r="A36" s="162">
        <v>0.99</v>
      </c>
      <c r="B36" s="140">
        <v>45378</v>
      </c>
      <c r="C36" s="163" t="s">
        <v>263</v>
      </c>
    </row>
    <row r="37" spans="1:3" hidden="1">
      <c r="A37" s="52"/>
      <c r="B37" s="52"/>
      <c r="C37" s="163" t="s">
        <v>302</v>
      </c>
    </row>
    <row r="38" spans="1:3" hidden="1">
      <c r="A38" s="52"/>
      <c r="B38" s="52"/>
      <c r="C38" s="163" t="s">
        <v>303</v>
      </c>
    </row>
    <row r="39" spans="1:3" hidden="1">
      <c r="A39" s="52"/>
      <c r="B39" s="52"/>
      <c r="C39" s="163"/>
    </row>
    <row r="40" spans="1:3" hidden="1">
      <c r="A40" s="52">
        <v>1</v>
      </c>
      <c r="B40" s="52"/>
      <c r="C40" s="163" t="s">
        <v>307</v>
      </c>
    </row>
    <row r="41" spans="1:3">
      <c r="A41" s="52">
        <v>0.99</v>
      </c>
      <c r="B41" s="140">
        <v>45740</v>
      </c>
      <c r="C41" s="280" t="s">
        <v>328</v>
      </c>
    </row>
    <row r="42" spans="1:3">
      <c r="A42" s="52"/>
      <c r="B42" s="52"/>
      <c r="C42" s="163" t="s">
        <v>329</v>
      </c>
    </row>
    <row r="43" spans="1:3">
      <c r="A43" s="52"/>
      <c r="B43" s="52"/>
      <c r="C43" s="163"/>
    </row>
    <row r="44" spans="1:3">
      <c r="A44" s="52">
        <v>1</v>
      </c>
      <c r="B44" s="284">
        <v>45839</v>
      </c>
      <c r="C44" s="163" t="s">
        <v>336</v>
      </c>
    </row>
    <row r="45" spans="1:3">
      <c r="A45" s="52"/>
      <c r="B45" s="52"/>
      <c r="C45" s="163" t="s">
        <v>337</v>
      </c>
    </row>
  </sheetData>
  <mergeCells count="2">
    <mergeCell ref="A1:B1"/>
    <mergeCell ref="A25:A26"/>
  </mergeCells>
  <phoneticPr fontId="1"/>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①基本情報</vt:lpstr>
      <vt:lpstr>②児童名簿</vt:lpstr>
      <vt:lpstr>③職員名簿</vt:lpstr>
      <vt:lpstr>④加算</vt:lpstr>
      <vt:lpstr>⑤集計表</vt:lpstr>
      <vt:lpstr>⑥加配職員判定</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⑥加配職員判定!Print_Area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cp:lastModifiedBy>
  <cp:lastPrinted>2025-07-22T03:12:28Z</cp:lastPrinted>
  <dcterms:created xsi:type="dcterms:W3CDTF">2020-01-20T06:10:49Z</dcterms:created>
  <dcterms:modified xsi:type="dcterms:W3CDTF">2025-08-03T23:47:58Z</dcterms:modified>
</cp:coreProperties>
</file>