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①基本情報!$A$1:$J$31</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⑤集計表!$A$1:$P$49</definedName>
    <definedName name="_xlnm.Print_Area" localSheetId="6">各加算の関係性!$A$1:$AE$60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 i="3" l="1"/>
  <c r="N3" i="3"/>
  <c r="O3" i="3"/>
  <c r="B20" i="4" l="1"/>
  <c r="U32" i="2" l="1"/>
  <c r="U31" i="2"/>
  <c r="T32" i="2"/>
  <c r="T31" i="2"/>
  <c r="S31" i="2"/>
  <c r="S32" i="2"/>
  <c r="S29" i="2"/>
  <c r="N3" i="5" l="1"/>
  <c r="N4" i="5" s="1"/>
  <c r="N2" i="5"/>
  <c r="H15" i="4" l="1"/>
  <c r="K28" i="5"/>
  <c r="K8" i="5" s="1"/>
  <c r="K27" i="5"/>
  <c r="K7" i="5" s="1"/>
  <c r="T14" i="2"/>
  <c r="T11" i="2"/>
  <c r="Q27" i="2" l="1"/>
  <c r="Q28" i="2" l="1"/>
  <c r="J28" i="5" l="1"/>
  <c r="J27" i="5"/>
  <c r="N13" i="5"/>
  <c r="K17" i="4" l="1"/>
  <c r="B14" i="4"/>
  <c r="Q5" i="3"/>
  <c r="N12" i="5"/>
  <c r="P5" i="3" s="1"/>
  <c r="P38" i="2" l="1"/>
  <c r="P37" i="2"/>
  <c r="P36" i="2"/>
  <c r="P35" i="2"/>
  <c r="P34" i="2"/>
  <c r="P32" i="2"/>
  <c r="P31" i="2"/>
  <c r="P30" i="2"/>
  <c r="P29" i="2"/>
  <c r="P28" i="2"/>
  <c r="P27" i="2"/>
  <c r="P24" i="2"/>
  <c r="P22" i="2"/>
  <c r="P21" i="2"/>
  <c r="P20" i="2"/>
  <c r="P18" i="2"/>
  <c r="P17" i="2"/>
  <c r="P16" i="2"/>
  <c r="P15" i="2"/>
  <c r="P14" i="2"/>
  <c r="P13" i="2"/>
  <c r="P12" i="2"/>
  <c r="P11" i="2"/>
  <c r="N4" i="2" l="1"/>
  <c r="Q36" i="2" l="1"/>
  <c r="Q37" i="2"/>
  <c r="Q38" i="2"/>
  <c r="Q29" i="2"/>
  <c r="Q30" i="2"/>
  <c r="Q31" i="2"/>
  <c r="Q32" i="2"/>
  <c r="Q33" i="2"/>
  <c r="Q34" i="2"/>
  <c r="Q35" i="2"/>
  <c r="B38" i="2"/>
  <c r="B28" i="2"/>
  <c r="B29" i="2"/>
  <c r="B30" i="2"/>
  <c r="B31" i="2"/>
  <c r="B32" i="2"/>
  <c r="B33" i="2"/>
  <c r="B34" i="2"/>
  <c r="B35" i="2"/>
  <c r="B36" i="2"/>
  <c r="B37" i="2"/>
  <c r="B27" i="2"/>
  <c r="O2" i="4" l="1"/>
  <c r="I2" i="3"/>
  <c r="P2" i="2"/>
  <c r="H2" i="1"/>
  <c r="J2" i="5"/>
  <c r="A1" i="5" l="1"/>
  <c r="B1" i="4" s="1"/>
  <c r="A1" i="2" l="1"/>
  <c r="A1" i="3"/>
  <c r="L3" i="3" l="1"/>
  <c r="K3" i="3" s="1"/>
  <c r="H11" i="3" s="1"/>
  <c r="T13" i="2"/>
  <c r="W13" i="2" s="1"/>
  <c r="U15" i="2" l="1"/>
  <c r="V14" i="2"/>
  <c r="U14" i="2"/>
  <c r="T15" i="2"/>
  <c r="T12" i="2"/>
  <c r="W11" i="2"/>
  <c r="H43" i="4" s="1"/>
  <c r="F33" i="4"/>
  <c r="F34" i="4"/>
  <c r="F32" i="4"/>
  <c r="F31" i="4"/>
  <c r="F30" i="4"/>
  <c r="F29" i="4"/>
  <c r="F28" i="4"/>
  <c r="F25" i="4"/>
  <c r="F22" i="4"/>
  <c r="F21" i="4"/>
  <c r="B23" i="4"/>
  <c r="B26" i="4"/>
  <c r="N28" i="4" l="1"/>
  <c r="W12" i="2"/>
  <c r="X13" i="2" s="1"/>
  <c r="M28" i="4" s="1"/>
  <c r="W15" i="2"/>
  <c r="H45" i="4" s="1"/>
  <c r="W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B22" i="4" l="1"/>
  <c r="C12" i="3"/>
  <c r="L42" i="4"/>
  <c r="O4" i="3"/>
  <c r="L4" i="3" s="1"/>
  <c r="K4" i="3" s="1"/>
  <c r="H22" i="3" s="1"/>
  <c r="N4" i="4"/>
  <c r="B13" i="4"/>
  <c r="B12" i="4"/>
  <c r="M42" i="4" l="1"/>
  <c r="O2" i="3"/>
  <c r="J22" i="2"/>
  <c r="J21" i="2"/>
  <c r="J20" i="2"/>
  <c r="B11" i="4" l="1"/>
  <c r="B10" i="4"/>
  <c r="M25" i="4" s="1"/>
  <c r="B9" i="4"/>
  <c r="F20" i="4"/>
  <c r="F19" i="4"/>
  <c r="B19" i="4"/>
  <c r="B25" i="4"/>
  <c r="B24" i="4"/>
  <c r="B21" i="4"/>
  <c r="Q9" i="1"/>
  <c r="J38" i="2"/>
  <c r="J18" i="2"/>
  <c r="R8" i="2"/>
  <c r="J13" i="2" l="1"/>
  <c r="P33" i="2"/>
  <c r="J14" i="2"/>
  <c r="J12" i="2"/>
  <c r="J24" i="2"/>
  <c r="J15" i="2"/>
  <c r="M10" i="1"/>
  <c r="J34" i="2"/>
  <c r="J30" i="2"/>
  <c r="J33" i="2"/>
  <c r="J36" i="2"/>
  <c r="J35" i="2"/>
  <c r="J37" i="2"/>
  <c r="J29" i="2"/>
  <c r="J32" i="2"/>
  <c r="K10" i="1"/>
  <c r="L10" i="1"/>
  <c r="J16" i="2"/>
  <c r="J28" i="2"/>
  <c r="J17" i="2"/>
  <c r="J11" i="2"/>
  <c r="J27" i="2"/>
  <c r="B4" i="4"/>
  <c r="T29" i="2" l="1"/>
  <c r="U29" i="2" s="1"/>
  <c r="T28" i="2"/>
  <c r="U28" i="2" s="1"/>
  <c r="S28" i="2"/>
  <c r="K11" i="1"/>
  <c r="Q10" i="1"/>
  <c r="O11" i="1"/>
  <c r="O19" i="1" s="1"/>
  <c r="P11" i="1"/>
  <c r="P19" i="1" s="1"/>
  <c r="M11" i="1"/>
  <c r="L11" i="1"/>
  <c r="L13" i="4" s="1"/>
  <c r="N11" i="1"/>
  <c r="N19" i="1" s="1"/>
  <c r="L38" i="4" s="1"/>
  <c r="M38" i="4" s="1"/>
  <c r="A3" i="3"/>
  <c r="A6" i="3"/>
  <c r="V29" i="2" l="1"/>
  <c r="J7" i="2" s="1"/>
  <c r="V32" i="2"/>
  <c r="L19" i="1"/>
  <c r="L36" i="4" s="1"/>
  <c r="M36" i="4" s="1"/>
  <c r="M13" i="4"/>
  <c r="M19" i="1"/>
  <c r="L37" i="4" s="1"/>
  <c r="M37" i="4" s="1"/>
  <c r="L14" i="4"/>
  <c r="M14" i="4" s="1"/>
  <c r="C6" i="2"/>
  <c r="D6" i="2"/>
  <c r="D7" i="2"/>
  <c r="C7" i="2"/>
  <c r="L12" i="4"/>
  <c r="M12" i="4" s="1"/>
  <c r="K19" i="1"/>
  <c r="L39" i="4"/>
  <c r="M39" i="4" s="1"/>
  <c r="L16" i="4"/>
  <c r="M16" i="4" s="1"/>
  <c r="K8" i="4"/>
  <c r="O8" i="4"/>
  <c r="Q11" i="1"/>
  <c r="L15" i="4"/>
  <c r="M15" i="4" s="1"/>
  <c r="J6" i="2" l="1"/>
  <c r="L35" i="4"/>
  <c r="M35" i="4" s="1"/>
  <c r="M43" i="4" s="1"/>
  <c r="M45" i="4" s="1"/>
  <c r="Q19" i="1"/>
  <c r="M17" i="4"/>
  <c r="M19" i="4" s="1"/>
  <c r="G4" i="1"/>
  <c r="A4" i="2"/>
  <c r="A4" i="1"/>
  <c r="M47" i="4" l="1"/>
  <c r="O19" i="4"/>
  <c r="M21" i="4" s="1"/>
  <c r="O9" i="4"/>
  <c r="E22" i="5"/>
  <c r="R9" i="1" s="1"/>
  <c r="O5" i="3" l="1"/>
  <c r="O28" i="4"/>
  <c r="O47" i="4" s="1"/>
  <c r="M30" i="4" l="1"/>
  <c r="L7" i="3" s="1"/>
  <c r="K7" i="3" s="1"/>
  <c r="Q2" i="3" s="1"/>
  <c r="R5" i="3" l="1"/>
  <c r="N5" i="3" s="1"/>
  <c r="L5" i="3" s="1"/>
  <c r="K5" i="3" s="1"/>
  <c r="C10" i="3" s="1"/>
  <c r="K49" i="4"/>
  <c r="P2" i="3"/>
  <c r="N2" i="3" l="1"/>
  <c r="L2" i="3" s="1"/>
  <c r="K2" i="3" s="1"/>
  <c r="D12"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特定教育・保育等に要する費用の額の算定に関する基準等の実施上の留意事項について（R7.4.11改正）
</t>
        </r>
        <r>
          <rPr>
            <b/>
            <sz val="8"/>
            <color indexed="81"/>
            <rFont val="MS P ゴシック"/>
            <family val="3"/>
            <charset val="128"/>
          </rPr>
          <t xml:space="preserve">
</t>
        </r>
        <r>
          <rPr>
            <sz val="8"/>
            <color indexed="81"/>
            <rFont val="MS P ゴシック"/>
            <family val="3"/>
            <charset val="128"/>
          </rPr>
          <t>≪小規模保育事業A型・B型≫
Ⅵ 特定加算部分
４．施設機能強化推進費加算（㉔）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t>
        </r>
        <r>
          <rPr>
            <b/>
            <sz val="8"/>
            <color indexed="81"/>
            <rFont val="MS P ゴシック"/>
            <family val="3"/>
            <charset val="128"/>
          </rPr>
          <t xml:space="preserve">
　</t>
        </r>
        <r>
          <rPr>
            <sz val="8"/>
            <color indexed="81"/>
            <rFont val="MS P ゴシック"/>
            <family val="3"/>
            <charset val="128"/>
          </rPr>
          <t>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また、①乳児の利用定員が３人以上あり、かつ、②乳児保育を実施する職員体制を維持し、③地域の親子が交流する場の提供や子育てに関する相談会を月２回以上開催している場合、前年度に要件を満たしていた場合については、乳児３人以上の利用の要件を満たしたものと取り扱う。
ⅴ 障害児（軽度障害児を含む。）（注４）が１人以上利用している施設（４月から11月までの間に１人以上の障害児の利用があること。）</t>
        </r>
        <r>
          <rPr>
            <b/>
            <sz val="8"/>
            <color indexed="81"/>
            <rFont val="MS P ゴシック"/>
            <family val="3"/>
            <charset val="128"/>
          </rPr>
          <t xml:space="preserve">
</t>
        </r>
        <r>
          <rPr>
            <sz val="8"/>
            <color indexed="81"/>
            <rFont val="MS P ゴシック"/>
            <family val="3"/>
            <charset val="128"/>
          </rPr>
          <t xml:space="preserve">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 xml:space="preserve">≪小規模保育事業A型・B型≫
１．基本分単価（⑥）
</t>
        </r>
        <r>
          <rPr>
            <sz val="9"/>
            <color indexed="81"/>
            <rFont val="MS P ゴシック"/>
            <family val="3"/>
            <charset val="128"/>
          </rPr>
          <t xml:space="preserve">（２）基本分単価に含まれる職員構成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また、これとは別に非常勤の保育従事者（小規模保育事業Ａ型にあっては保育士）が配置されていること。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
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幼保連携型認定こども園の学級の編制、職員、設備及び運営に関する基準の運用上の取扱いについて（通知）（R7.3.28改正）
２．職員配置について（基準省令第５条及び附則第８条関係）
（３）看護師等の特例について
幼保連携型認定こども園においては、基準省令附則第８条の規定のとおり、当分の間、１人に限って、当該園に勤務する保健師、看護師又は准看護師（以下「看護師等」という。）をもって基準省令第５条第３項の表備考第１号に定める者に代えることができる（ただし、補助者として従事する場合を除き、教育課程に基づく教育に従事してはならない）が、満１歳未満の園児の数が４人未満である場合は、子育てに関する知識と経験を有する看護師等を配置し、かつ、当該看護師等が保育を行うに当たって基準省令第５条第３項の表備考第１号に定める者による支援を受けることができる体制を確保しなければならないこととされている。
このため、上記場合において、保育所、認定こども園及び地域型保育事業所等（以下「保育所等」という。）での勤務経験が概ね３年に満たない看護師等が保育を行う場合、「子育て支援員研修事業の実施について」（平成２７年５月２１日付け雇児発０５２１第１８号厚生労働省雇用均等・児童家庭局長通知）で定める子育て支援員研修のうち、地域保育コースその他の都道府県知事が認める研修の修了（以下「子育て支援員研修等」という。）を必須とし、また、基準省令第５条第３項の表備考第１号に定める者と合同の組・グループを編成し、原則として同一の乳児室など同一空間内で保育を行わなければならないこと。</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9"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基本分単価における必要保育従事者数は以下のⅰとⅱを合計した数であること。
また、これとは別に非常勤の保育従事者（小規模保育事業Ａ型にあっては保育士）が配置されていること。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｛１、２歳児数×1/6（小数点第１位まで計算（小数点第２位以下切り捨て））｝＋｛乳児数×1/3（同）｝＋１＝配置基準上保育士数（小数点以下四捨五入）
</t>
        </r>
        <r>
          <rPr>
            <sz val="9"/>
            <color indexed="81"/>
            <rFont val="MS P ゴシック"/>
            <family val="3"/>
            <charset val="128"/>
          </rPr>
          <t xml:space="preserve">
</t>
        </r>
      </text>
    </comment>
    <comment ref="M25" authorId="0" shapeId="0">
      <text>
        <r>
          <rPr>
            <sz val="9"/>
            <color indexed="81"/>
            <rFont val="MS P ゴシック"/>
            <family val="3"/>
            <charset val="128"/>
          </rPr>
          <t>【参考】
一時預かり事業の実施について（R7.3.31改正）
④ 職員の配置
　規則第36条の35第１項第１号ロ及びハの規定に基づき、乳幼児の年齢及び人数に応じ、専ら当該一般型一時預かり事業に従事する職員として、当該乳幼児の処遇を行う者（以下「保育従事者」という。）を配置し、そのうち保育士を１／２以上とすること。また、当該保育従事者の数は２名を下ることはできないこと。ただし、以下のアからウ及びエ（ウ）に該当する場合を除く。
　ア 保育所等と一体的に事業を実施する場合
　保育所等と一体的に事業を実施し、当該保育所等の職員（保育従事者に限る。）による支援を受けられる場合には、保育士１名で処遇ができる乳幼児数の範囲内において、保育従事者を保育士１名とすることができる。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イ １日当たり平均利用児童数がおおむね３人以下である場合
　１日当たり平均利用児童数（年間延べ利用児童数を年間開所日数で除して得た数をいう。以下同じ。）がおおむね３人以下である場合には、家庭的保育者（児童福祉法（昭和22年法律第164号）第６条の３第９項第１号に規定する家庭的保育者をいう。以下同じ。）を、保育士とみなすことができる。
　ウ 保育所等と一体的に事業を実施、かつ１日当たり平均利用児童数がおおむね３人以下である場合
　１日当たり平均利用児童数がおおむね３人以下であることに加え、保育所等と一体的に事業を運営し、当該保育所等を利用している乳幼児と同一の場所において当該一般型一時預かり事業を実施する場合であって、当該保育所等の保育士による支援を受けられる場合には、保育士１名で処遇ができる乳幼児数の範囲内において、保育従事者を「子育て支援員研修事業の実施について」（令和６年３月30日こ成環第111号、こ支家第189号こども家庭庁成育局長、こども家庭庁支援局長通知）の別紙「子育て支援員研修事業実施要綱」の５（３）アに定める基本研修及び５（３）イ（イ）に定める「一時預かり事業」又は「地域型保育」の専門研修を修了した者（以下「子育て支援員」という。）１名とすることができる。ただし、保育所等を利用している乳幼児と同一の場所において事業を実施する場合であっても、保育所等を利用する児童と当該事業の利用乳幼児数を合わせた乳幼児の人数に応じ、児童福祉施設の設備及び運営に関する基準（昭和
23年厚生省令第63号）第33条第２項の規定に準じて職員を配置すること。なお、非定期利用が中心である一時預かり事業の特性に留意し、研修内容を設定すること。
　エ 同一敷地内で放課後児童健全育成事業を実施する場合
　一時預かり事業を実施する保育所、幼稚園及び認定こども園を運営する法人が同一敷地内で放課後児童健全育成事業を実施する場合であって、放課後児童健全育成事業の利用児童数がおおむね２人以下であるときには、下記（ア）から（エ）までの要件を全て満たすことを条件として、一時預かり事業の実施場所において、両事業の対象児童を合同で保育することを可能とする。
　（ア）放課後児童健全育成事業の対象児童（以下「放課後児童」という。）の処遇の実施にあたっては、『「放課後児童健全育成事業」の実施について』（令和５年４月12日こ成環第５号こども家庭庁成育局長通知）の別紙「放課後児童健全育成事業実施要綱」によること。
（イ）一時預かり事業に関する保育従事者の配置基準は、上記④の一段落目の記載に関わらず、乳児おおむね３人につき２名以上、満１歳以上満３歳に満たない幼児おおむね３人につき１名以上、満３歳以上満４歳に満たない幼児おおむね10人につき１名以上、満４歳以上の幼児おおむね15人につき１名以上とすること。
（ウ）一時預かり事業に関する保育従事者の数は２名を下ることはできないのが原則であるが、放課後児童の処遇に係る職員２名以上から支援を受けられることを前提に、上記（イ）の基準に基づき保育士１名で保育ができる乳幼児数の範囲内において、保育士１名とすることができることとする。
（エ）一時預かり事業の対象児童に対する処遇に支障がないことに加え、低年齢児と小学生が同一場所で活動することを踏まえた安全な保育環境が確保されていると市町村が認めていること。
　</t>
        </r>
      </text>
    </comment>
    <comment ref="M45"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３．障害児保育加算（⑨又は⑨’）
（１）加算の要件
</t>
        </r>
        <r>
          <rPr>
            <b/>
            <sz val="9"/>
            <color indexed="81"/>
            <rFont val="MS P ゴシック"/>
            <family val="3"/>
            <charset val="128"/>
          </rPr>
          <t>（ア）１歳児配置改善加算の適用がない場合【⑨】</t>
        </r>
        <r>
          <rPr>
            <sz val="9"/>
            <color indexed="81"/>
            <rFont val="MS P ゴシック"/>
            <family val="3"/>
            <charset val="128"/>
          </rPr>
          <t xml:space="preserve">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１、２歳児数（障害児を除く）×1/6（小数点第１位まで計算（小数点第２位以下切り捨て））｝＋｛乳児数（同）×1/3（同）｝＋｛障害児数×1/2（同）｝＋１＝配置基準上保育士・保育従事者数（小数点以下四捨五入）
</t>
        </r>
        <r>
          <rPr>
            <b/>
            <sz val="9"/>
            <color indexed="81"/>
            <rFont val="MS P ゴシック"/>
            <family val="3"/>
            <charset val="128"/>
          </rPr>
          <t>（イ）１歳児配置改善加算の適用がある場合【⑨’】</t>
        </r>
        <r>
          <rPr>
            <sz val="9"/>
            <color indexed="81"/>
            <rFont val="MS P ゴシック"/>
            <family val="3"/>
            <charset val="128"/>
          </rPr>
          <t xml:space="preserve">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２歳児数（障害児を除く）×1/6（小数点第１位まで計算（小数点第２位以下切り捨て））｝＋｛１歳児数（障害児を除く）×1/5（同）｝＋｛乳児数（同）×1/3（同）｝＋｛障害児数×1/2（同）｝＋１＝配置基準上保育士・保育従事者数（小数点以下四捨五入）</t>
        </r>
      </text>
    </comment>
  </commentList>
</comments>
</file>

<file path=xl/sharedStrings.xml><?xml version="1.0" encoding="utf-8"?>
<sst xmlns="http://schemas.openxmlformats.org/spreadsheetml/2006/main" count="412" uniqueCount="271">
  <si>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</si>
  <si>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</si>
  <si>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</si>
  <si>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</si>
  <si>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</si>
  <si>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</si>
  <si>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</si>
  <si>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</si>
  <si>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</si>
  <si>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</si>
  <si>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</si>
  <si>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</si>
  <si>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</si>
  <si>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</si>
  <si>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</si>
  <si>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</si>
  <si>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</si>
  <si>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</si>
  <si>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</si>
  <si>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</si>
  <si>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</si>
  <si>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</si>
  <si>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</si>
  <si>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</si>
  <si>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</si>
  <si>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</si>
  <si>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</si>
  <si>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</si>
  <si>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</si>
  <si>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</si>
  <si>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</si>
  <si>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</si>
  <si>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</si>
  <si>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</si>
  <si>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</si>
  <si>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</si>
  <si>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</si>
  <si>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</si>
  <si>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</si>
  <si>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</si>
  <si>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</si>
  <si>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</si>
  <si>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</si>
  <si>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</si>
  <si>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</si>
  <si>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</si>
  <si>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</si>
  <si>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</si>
  <si>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</si>
  <si>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</si>
  <si>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</si>
  <si>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</si>
  <si>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</si>
  <si>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</si>
  <si>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</si>
  <si>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</si>
  <si>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</si>
  <si>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</si>
  <si>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</si>
  <si>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</si>
  <si>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</si>
  <si>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</si>
  <si>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</si>
  <si>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</si>
  <si>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</si>
  <si>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</si>
  <si>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</si>
  <si>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</si>
  <si>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</si>
  <si>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</si>
  <si>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</si>
  <si>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</si>
  <si>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</si>
  <si>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</si>
  <si>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</si>
  <si>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</si>
  <si>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</si>
  <si>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</si>
  <si>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</si>
  <si>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</si>
  <si>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</si>
  <si>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</si>
  <si>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</si>
  <si>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</si>
  <si>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</si>
  <si>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</si>
  <si>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</si>
  <si>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</si>
  <si>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</si>
  <si>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</si>
  <si>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</si>
  <si>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</si>
  <si>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</si>
  <si>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</si>
  <si>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</si>
  <si>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</si>
  <si>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</si>
  <si>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</si>
  <si>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</si>
  <si>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</si>
  <si>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</si>
  <si>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</si>
  <si>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</si>
  <si>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</si>
  <si>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</si>
  <si>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</si>
  <si>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</si>
  <si>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</si>
  <si>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</si>
  <si>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</si>
  <si>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</si>
  <si>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</si>
  <si>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</si>
  <si>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</si>
  <si>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</si>
  <si>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</si>
  <si>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</si>
  <si>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</si>
  <si>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</si>
  <si>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</si>
  <si>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</si>
  <si>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</si>
  <si>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</si>
  <si>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</si>
  <si>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</si>
  <si>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</si>
  <si>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</si>
  <si>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</si>
  <si>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</si>
  <si>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</si>
  <si>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</si>
  <si>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</si>
  <si>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</si>
  <si>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</si>
  <si>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</si>
  <si>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</si>
  <si>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</si>
  <si>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</si>
  <si>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</si>
  <si>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</si>
  <si>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</si>
  <si>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</si>
  <si>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</si>
  <si>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</si>
  <si>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</si>
  <si>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</si>
  <si>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</si>
  <si>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</si>
  <si>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</si>
  <si>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</si>
  <si>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</si>
  <si>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</si>
  <si>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</si>
  <si>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</si>
  <si>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</si>
  <si>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</si>
  <si>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</si>
  <si>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</si>
  <si>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</si>
  <si>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</si>
  <si>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</si>
  <si>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</si>
  <si>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</si>
  <si>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</si>
  <si>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</si>
  <si>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</si>
  <si>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</si>
  <si>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</si>
  <si>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</si>
  <si>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</si>
  <si>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</si>
  <si>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</si>
  <si>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</si>
  <si>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</si>
  <si>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</si>
  <si>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</si>
  <si>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</si>
  <si>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</si>
  <si>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</si>
  <si>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</si>
  <si>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</si>
  <si>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</si>
  <si>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</si>
  <si>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</si>
  <si>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</si>
  <si>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</si>
  <si>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</si>
  <si>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</si>
  <si>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</si>
  <si>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</si>
  <si>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</si>
  <si>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</si>
  <si>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</si>
  <si>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</si>
  <si>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</si>
  <si>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</si>
  <si>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</si>
  <si>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</si>
  <si>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</si>
  <si>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</si>
  <si>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</si>
  <si>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</si>
  <si>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</si>
  <si>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</si>
  <si>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</si>
  <si>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</si>
  <si>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</si>
  <si>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</si>
  <si>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</si>
  <si>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</si>
  <si>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③職員名簿　兼務状況追加</t>
    <rPh sb="1" eb="3">
      <t>ショクイン</t>
    </rPh>
    <rPh sb="3" eb="5">
      <t>メイボ</t>
    </rPh>
    <rPh sb="6" eb="8">
      <t>ケンム</t>
    </rPh>
    <rPh sb="8" eb="10">
      <t>ジョウキョウ</t>
    </rPh>
    <rPh sb="10" eb="12">
      <t>ツイカ</t>
    </rPh>
    <phoneticPr fontId="1"/>
  </si>
  <si>
    <t>年度更新</t>
    <rPh sb="0" eb="2">
      <t>ネンド</t>
    </rPh>
    <rPh sb="2" eb="4">
      <t>コウシン</t>
    </rPh>
    <phoneticPr fontId="1"/>
  </si>
  <si>
    <t>年</t>
    <rPh sb="0" eb="1">
      <t>ネン</t>
    </rPh>
    <phoneticPr fontId="1"/>
  </si>
  <si>
    <r>
      <t>職員</t>
    </r>
    <r>
      <rPr>
        <sz val="8"/>
        <color theme="1"/>
        <rFont val="游ゴシック"/>
        <family val="3"/>
        <charset val="128"/>
        <scheme val="minor"/>
      </rPr>
      <t>※</t>
    </r>
    <r>
      <rPr>
        <sz val="11"/>
        <color theme="1"/>
        <rFont val="游ゴシック"/>
        <family val="2"/>
        <charset val="128"/>
        <scheme val="minor"/>
      </rPr>
      <t>の平均経験年数</t>
    </r>
    <rPh sb="0" eb="2">
      <t>ショクイン</t>
    </rPh>
    <rPh sb="4" eb="6">
      <t>ヘイキン</t>
    </rPh>
    <rPh sb="6" eb="8">
      <t>ケイケン</t>
    </rPh>
    <rPh sb="8" eb="10">
      <t>ネンスウ</t>
    </rPh>
    <phoneticPr fontId="1"/>
  </si>
  <si>
    <t>※1日6時間以上かつ月20日以上勤務する職員</t>
    <rPh sb="2" eb="3">
      <t>ニチ</t>
    </rPh>
    <rPh sb="4" eb="8">
      <t>ジカンイジョウ</t>
    </rPh>
    <rPh sb="10" eb="11">
      <t>ツキ</t>
    </rPh>
    <rPh sb="13" eb="14">
      <t>ニチ</t>
    </rPh>
    <rPh sb="14" eb="16">
      <t>イジョウ</t>
    </rPh>
    <rPh sb="16" eb="18">
      <t>キンム</t>
    </rPh>
    <rPh sb="20" eb="22">
      <t>ショクイン</t>
    </rPh>
    <phoneticPr fontId="1"/>
  </si>
  <si>
    <t>ICTの活用（1歳児配置改善）</t>
    <phoneticPr fontId="1"/>
  </si>
  <si>
    <t>①登校園管理</t>
    <phoneticPr fontId="1"/>
  </si>
  <si>
    <t>②計画・記録</t>
    <phoneticPr fontId="1"/>
  </si>
  <si>
    <t>③保護者連絡</t>
    <phoneticPr fontId="1"/>
  </si>
  <si>
    <t>④キャッシュレス決済</t>
    <phoneticPr fontId="1"/>
  </si>
  <si>
    <t>災害時における地域支援の取組</t>
    <phoneticPr fontId="1"/>
  </si>
  <si>
    <t>ICT活用</t>
    <rPh sb="3" eb="5">
      <t>カツヨウ</t>
    </rPh>
    <phoneticPr fontId="1"/>
  </si>
  <si>
    <t>取組み①</t>
    <rPh sb="0" eb="2">
      <t>トリク</t>
    </rPh>
    <phoneticPr fontId="1"/>
  </si>
  <si>
    <t>取組み②</t>
    <rPh sb="0" eb="2">
      <t>トリク</t>
    </rPh>
    <phoneticPr fontId="1"/>
  </si>
  <si>
    <t>1歳児配置改善加算</t>
    <rPh sb="1" eb="3">
      <t>サイジ</t>
    </rPh>
    <rPh sb="3" eb="5">
      <t>ハイチ</t>
    </rPh>
    <rPh sb="5" eb="7">
      <t>カイゼン</t>
    </rPh>
    <rPh sb="7" eb="9">
      <t>カサン</t>
    </rPh>
    <phoneticPr fontId="1"/>
  </si>
  <si>
    <t xml:space="preserve">災害時における地域支援の取組  
</t>
    <rPh sb="0" eb="2">
      <t>サイガイ</t>
    </rPh>
    <rPh sb="2" eb="3">
      <t>ジ</t>
    </rPh>
    <rPh sb="7" eb="9">
      <t>チイキ</t>
    </rPh>
    <rPh sb="9" eb="11">
      <t>シエン</t>
    </rPh>
    <rPh sb="12" eb="14">
      <t>トリクミ</t>
    </rPh>
    <phoneticPr fontId="1"/>
  </si>
  <si>
    <t>1歳児</t>
    <rPh sb="1" eb="3">
      <t>サイジ</t>
    </rPh>
    <phoneticPr fontId="1"/>
  </si>
  <si>
    <t>1歳配置</t>
    <rPh sb="1" eb="2">
      <t>サイ</t>
    </rPh>
    <rPh sb="2" eb="4">
      <t>ハイチ</t>
    </rPh>
    <phoneticPr fontId="1"/>
  </si>
  <si>
    <t>1歳児</t>
    <phoneticPr fontId="1"/>
  </si>
  <si>
    <t>プレリリース（４月調査用）</t>
    <rPh sb="8" eb="9">
      <t>ガツ</t>
    </rPh>
    <rPh sb="9" eb="12">
      <t>チョウサヨウ</t>
    </rPh>
    <phoneticPr fontId="1"/>
  </si>
  <si>
    <t>１歳児配置改善加算、子育て支援の取組み</t>
    <phoneticPr fontId="1"/>
  </si>
  <si>
    <t>処遇改善等加算、参考の更新</t>
    <rPh sb="0" eb="7">
      <t>ショグウカイゼントウカサン</t>
    </rPh>
    <rPh sb="8" eb="10">
      <t>サンコウ</t>
    </rPh>
    <rPh sb="11" eb="13">
      <t>コウシン</t>
    </rPh>
    <phoneticPr fontId="1"/>
  </si>
  <si>
    <t>リリース（加算適用申請）</t>
    <rPh sb="5" eb="7">
      <t>カサン</t>
    </rPh>
    <rPh sb="7" eb="9">
      <t>テキヨウ</t>
    </rPh>
    <rPh sb="9" eb="11">
      <t>シンセイ</t>
    </rPh>
    <phoneticPr fontId="1"/>
  </si>
  <si>
    <t>処遇改善等加算（区分１及び区分２）</t>
    <rPh sb="0" eb="2">
      <t>ショグウ</t>
    </rPh>
    <rPh sb="2" eb="4">
      <t>カイゼン</t>
    </rPh>
    <rPh sb="4" eb="5">
      <t>トウ</t>
    </rPh>
    <rPh sb="5" eb="7">
      <t>カサン</t>
    </rPh>
    <rPh sb="8" eb="10">
      <t>クブン</t>
    </rPh>
    <rPh sb="11" eb="12">
      <t>オヨ</t>
    </rPh>
    <rPh sb="13" eb="15">
      <t>クブン</t>
    </rPh>
    <phoneticPr fontId="1"/>
  </si>
  <si>
    <t>処遇改善等加算（区分３）</t>
    <rPh sb="0" eb="2">
      <t>ショグウ</t>
    </rPh>
    <rPh sb="2" eb="4">
      <t>カイゼン</t>
    </rPh>
    <rPh sb="4" eb="5">
      <t>トウ</t>
    </rPh>
    <rPh sb="5" eb="7">
      <t>カサン</t>
    </rPh>
    <rPh sb="8" eb="10">
      <t>クブン</t>
    </rPh>
    <phoneticPr fontId="1"/>
  </si>
  <si>
    <t>処遇（区分１・２）</t>
    <rPh sb="0" eb="2">
      <t>ショグウ</t>
    </rPh>
    <rPh sb="3" eb="5">
      <t>クブン</t>
    </rPh>
    <phoneticPr fontId="1"/>
  </si>
  <si>
    <t>処遇（区分３）</t>
    <rPh sb="0" eb="2">
      <t>ショグウ</t>
    </rPh>
    <rPh sb="3" eb="5">
      <t>クブン</t>
    </rPh>
    <phoneticPr fontId="1"/>
  </si>
  <si>
    <t>R7年度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</si>
  <si>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記載例小規模保育所</t>
    <rPh sb="0" eb="2">
      <t>キサイ</t>
    </rPh>
    <rPh sb="2" eb="3">
      <t>レイ</t>
    </rPh>
    <rPh sb="3" eb="6">
      <t>ショウキボ</t>
    </rPh>
    <rPh sb="6" eb="8">
      <t>ホイク</t>
    </rPh>
    <rPh sb="8" eb="9">
      <t>ショ</t>
    </rPh>
    <phoneticPr fontId="1"/>
  </si>
  <si>
    <t>短時間</t>
  </si>
  <si>
    <t>○○○○</t>
    <phoneticPr fontId="1"/>
  </si>
  <si>
    <t>C</t>
  </si>
  <si>
    <r>
      <t xml:space="preserve">職務分野別リーダー
</t>
    </r>
    <r>
      <rPr>
        <sz val="6"/>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</si>
  <si>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t>外部搬入</t>
  </si>
  <si>
    <t>管理者等兼務</t>
  </si>
  <si>
    <t>職務分野別リーダー
（保健衛生・安全対策）</t>
    <rPh sb="0" eb="2">
      <t>ショクム</t>
    </rPh>
    <rPh sb="2" eb="4">
      <t>ブンヤ</t>
    </rPh>
    <rPh sb="4" eb="5">
      <t>ベツ</t>
    </rPh>
    <rPh sb="11" eb="13">
      <t>ホケン</t>
    </rPh>
    <rPh sb="13" eb="15">
      <t>エイセイ</t>
    </rPh>
    <rPh sb="16" eb="18">
      <t>アンゼン</t>
    </rPh>
    <rPh sb="18" eb="20">
      <t>タイサク</t>
    </rPh>
    <phoneticPr fontId="1"/>
  </si>
  <si>
    <t>准看護師</t>
    <rPh sb="0" eb="1">
      <t>ジュン</t>
    </rPh>
    <phoneticPr fontId="1"/>
  </si>
  <si>
    <t>職務分野別リーダー
（乳児保育）</t>
    <rPh sb="0" eb="2">
      <t>ショクム</t>
    </rPh>
    <rPh sb="2" eb="4">
      <t>ブンヤ</t>
    </rPh>
    <rPh sb="4" eb="5">
      <t>ベツ</t>
    </rPh>
    <rPh sb="11" eb="13">
      <t>ニュウジ</t>
    </rPh>
    <rPh sb="13" eb="15">
      <t>ホイク</t>
    </rPh>
    <phoneticPr fontId="1"/>
  </si>
  <si>
    <t>職務分野別リーダー
（障がい児保育）</t>
    <rPh sb="0" eb="2">
      <t>ショクム</t>
    </rPh>
    <rPh sb="2" eb="4">
      <t>ブンヤ</t>
    </rPh>
    <rPh sb="4" eb="5">
      <t>ベツ</t>
    </rPh>
    <rPh sb="11" eb="12">
      <t>ショウ</t>
    </rPh>
    <rPh sb="14" eb="15">
      <t>ジ</t>
    </rPh>
    <rPh sb="15" eb="17">
      <t>ホイク</t>
    </rPh>
    <phoneticPr fontId="1"/>
  </si>
  <si>
    <t>子育て支援員</t>
    <rPh sb="0" eb="2">
      <t>コソダ</t>
    </rPh>
    <rPh sb="3" eb="5">
      <t>シエン</t>
    </rPh>
    <rPh sb="5" eb="6">
      <t>イン</t>
    </rPh>
    <phoneticPr fontId="1"/>
  </si>
  <si>
    <t>なし</t>
  </si>
  <si>
    <t>あり</t>
  </si>
  <si>
    <t>記載例アフタースクール</t>
    <rPh sb="0" eb="3">
      <t>キサイレイ</t>
    </rPh>
    <phoneticPr fontId="1"/>
  </si>
  <si>
    <t>R7年度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</si>
  <si>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a</t>
    <phoneticPr fontId="1"/>
  </si>
  <si>
    <t>l</t>
    <phoneticPr fontId="1"/>
  </si>
  <si>
    <t>m</t>
    <phoneticPr fontId="1"/>
  </si>
  <si>
    <t>加算対象者</t>
  </si>
  <si>
    <t>主任保育士</t>
    <rPh sb="0" eb="2">
      <t>シュニン</t>
    </rPh>
    <rPh sb="2" eb="5">
      <t>ホイクシ</t>
    </rPh>
    <phoneticPr fontId="1"/>
  </si>
  <si>
    <t>副主任保育士</t>
    <rPh sb="0" eb="3">
      <t>フクシュニン</t>
    </rPh>
    <rPh sb="3" eb="6">
      <t>ホイクシ</t>
    </rPh>
    <phoneticPr fontId="1"/>
  </si>
  <si>
    <t>ｂ</t>
    <phoneticPr fontId="1"/>
  </si>
  <si>
    <t>ｃ</t>
    <phoneticPr fontId="1"/>
  </si>
  <si>
    <t>ｄ</t>
    <phoneticPr fontId="1"/>
  </si>
  <si>
    <t>e</t>
    <phoneticPr fontId="1"/>
  </si>
  <si>
    <t>f</t>
    <phoneticPr fontId="1"/>
  </si>
  <si>
    <t>g</t>
    <phoneticPr fontId="1"/>
  </si>
  <si>
    <t>常勤</t>
  </si>
  <si>
    <t>h</t>
    <phoneticPr fontId="1"/>
  </si>
  <si>
    <t>i</t>
    <phoneticPr fontId="1"/>
  </si>
  <si>
    <t>j</t>
    <phoneticPr fontId="1"/>
  </si>
  <si>
    <t>k</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</si>
</sst>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0"/>
    <numFmt numFmtId="178" formatCode="0.0_ "/>
    <numFmt numFmtId="179" formatCode="&quot;Ver &quot;0.00"/>
    <numFmt numFmtId="180" formatCode="0&quot;人&quot;"/>
    <numFmt numFmtId="181" formatCode="0.0&quot;人&quot;"/>
    <numFmt numFmtId="182" formatCode="0.00_);[Red]\(0.00\)"/>
    <numFmt numFmtId="183" formatCode="0_ "/>
  </numFmts>
  <fonts count="43">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
      <sz val="9"/>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26">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2" fillId="0" borderId="0" xfId="0" applyFont="1" applyAlignment="1">
      <alignment horizontal="center" vertical="center"/>
    </xf>
    <xf numFmtId="0" fontId="5" fillId="6"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7" fontId="5" fillId="3" borderId="3" xfId="0" applyNumberFormat="1" applyFont="1" applyFill="1" applyBorder="1" applyAlignment="1">
      <alignment horizontal="center" vertical="center"/>
    </xf>
    <xf numFmtId="0" fontId="5" fillId="0" borderId="0" xfId="0" applyFont="1" applyBorder="1">
      <alignment vertical="center"/>
    </xf>
    <xf numFmtId="177" fontId="13" fillId="3" borderId="2" xfId="0" applyNumberFormat="1" applyFont="1" applyFill="1" applyBorder="1" applyAlignment="1">
      <alignment horizontal="center" vertical="center"/>
    </xf>
    <xf numFmtId="178" fontId="13" fillId="6" borderId="2" xfId="0" applyNumberFormat="1" applyFont="1" applyFill="1" applyBorder="1" applyAlignment="1">
      <alignment horizontal="center" vertical="center"/>
    </xf>
    <xf numFmtId="0" fontId="7" fillId="5" borderId="1" xfId="0" applyFont="1" applyFill="1" applyBorder="1" applyAlignment="1">
      <alignment vertical="center" shrinkToFit="1"/>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8"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6" fillId="0" borderId="0" xfId="0" applyFont="1" applyFill="1" applyAlignment="1">
      <alignment vertical="center" shrinkToFit="1"/>
    </xf>
    <xf numFmtId="0" fontId="24" fillId="0" borderId="0" xfId="0" applyFont="1" applyAlignment="1">
      <alignment horizontal="left" vertical="center"/>
    </xf>
    <xf numFmtId="177"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79" fontId="2" fillId="0" borderId="0" xfId="0" applyNumberFormat="1" applyFont="1">
      <alignment vertical="center"/>
    </xf>
    <xf numFmtId="179" fontId="6" fillId="0" borderId="0" xfId="0" applyNumberFormat="1" applyFont="1" applyAlignment="1">
      <alignment horizontal="right"/>
    </xf>
    <xf numFmtId="179" fontId="16" fillId="0" borderId="0" xfId="0" applyNumberFormat="1" applyFont="1" applyBorder="1" applyAlignment="1">
      <alignment horizontal="right" vertical="center"/>
    </xf>
    <xf numFmtId="179" fontId="6" fillId="0" borderId="0" xfId="0" applyNumberFormat="1" applyFont="1" applyAlignment="1"/>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0"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0" fontId="0" fillId="0" borderId="19"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2" fontId="0" fillId="0" borderId="1" xfId="0" applyNumberFormat="1" applyBorder="1">
      <alignment vertical="center"/>
    </xf>
    <xf numFmtId="183"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0" fillId="5" borderId="12" xfId="0" applyNumberFormat="1" applyFill="1" applyBorder="1" applyAlignment="1">
      <alignment horizontal="center" vertical="center"/>
    </xf>
    <xf numFmtId="0" fontId="0" fillId="0" borderId="22" xfId="0" applyNumberFormat="1" applyFill="1" applyBorder="1" applyAlignment="1">
      <alignment vertical="center"/>
    </xf>
    <xf numFmtId="0" fontId="2" fillId="0" borderId="0" xfId="0" applyFont="1" applyAlignment="1">
      <alignment vertical="center" shrinkToFit="1"/>
    </xf>
    <xf numFmtId="0" fontId="0" fillId="0" borderId="0" xfId="0">
      <alignment vertical="center"/>
    </xf>
    <xf numFmtId="0" fontId="0" fillId="0" borderId="0" xfId="0">
      <alignment vertical="center"/>
    </xf>
    <xf numFmtId="0" fontId="2" fillId="0" borderId="0" xfId="0" applyFont="1">
      <alignment vertical="center"/>
    </xf>
    <xf numFmtId="0" fontId="0" fillId="5" borderId="2" xfId="0" applyFill="1" applyBorder="1" applyAlignment="1">
      <alignment horizontal="center" vertical="center"/>
    </xf>
    <xf numFmtId="0" fontId="0" fillId="4" borderId="1" xfId="0" applyFill="1" applyBorder="1" applyAlignment="1">
      <alignment horizontal="center" vertical="center"/>
    </xf>
    <xf numFmtId="0" fontId="0" fillId="5" borderId="2" xfId="0" applyFill="1" applyBorder="1" applyAlignment="1">
      <alignment horizontal="center" vertical="center"/>
    </xf>
    <xf numFmtId="0" fontId="2" fillId="0" borderId="1" xfId="0" applyFont="1" applyBorder="1">
      <alignment vertical="center"/>
    </xf>
    <xf numFmtId="0" fontId="5" fillId="0" borderId="1" xfId="0" applyFont="1" applyBorder="1">
      <alignment vertical="center"/>
    </xf>
    <xf numFmtId="0" fontId="0" fillId="0" borderId="0" xfId="0">
      <alignment vertical="center"/>
    </xf>
    <xf numFmtId="0" fontId="2" fillId="0" borderId="0" xfId="0" applyFont="1">
      <alignment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0" fontId="5" fillId="6"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0" borderId="0" xfId="0" applyFont="1" applyBorder="1">
      <alignment vertical="center"/>
    </xf>
    <xf numFmtId="0" fontId="2" fillId="0" borderId="22" xfId="0" applyFont="1" applyBorder="1">
      <alignment vertical="center"/>
    </xf>
    <xf numFmtId="0" fontId="5" fillId="0" borderId="28" xfId="0" applyFont="1" applyFill="1" applyBorder="1" applyAlignment="1">
      <alignment horizontal="right" vertical="center"/>
    </xf>
    <xf numFmtId="0" fontId="10" fillId="0" borderId="1" xfId="0" applyFont="1" applyBorder="1" applyAlignment="1">
      <alignment horizontal="center" vertical="center"/>
    </xf>
    <xf numFmtId="0" fontId="34" fillId="0" borderId="0" xfId="0" applyFont="1" applyAlignment="1">
      <alignment horizontal="center" vertical="center"/>
    </xf>
    <xf numFmtId="0" fontId="0" fillId="0" borderId="1" xfId="0" applyBorder="1" applyAlignment="1">
      <alignment vertical="center" shrinkToFit="1"/>
    </xf>
    <xf numFmtId="0" fontId="2" fillId="0" borderId="0" xfId="0" applyFont="1">
      <alignment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0" fillId="0" borderId="1" xfId="0" applyBorder="1" applyAlignment="1">
      <alignment horizontal="center" vertical="center"/>
    </xf>
    <xf numFmtId="177" fontId="5" fillId="0" borderId="6" xfId="0" applyNumberFormat="1" applyFont="1" applyBorder="1" applyAlignment="1">
      <alignment horizontal="center" vertical="center"/>
    </xf>
    <xf numFmtId="0" fontId="0" fillId="0" borderId="3" xfId="0" applyBorder="1">
      <alignment vertical="center"/>
    </xf>
    <xf numFmtId="0" fontId="0" fillId="0" borderId="16" xfId="0" applyBorder="1">
      <alignment vertical="center"/>
    </xf>
    <xf numFmtId="178" fontId="0" fillId="0" borderId="2" xfId="0" applyNumberFormat="1" applyBorder="1">
      <alignment vertical="center"/>
    </xf>
    <xf numFmtId="0" fontId="5" fillId="4" borderId="1" xfId="0" applyFont="1" applyFill="1" applyBorder="1" applyAlignment="1">
      <alignment horizontal="center" vertical="center" shrinkToFit="1"/>
    </xf>
    <xf numFmtId="0" fontId="0" fillId="0" borderId="1" xfId="0" applyBorder="1" applyAlignment="1">
      <alignment horizontal="center" vertical="center"/>
    </xf>
    <xf numFmtId="0" fontId="42" fillId="0" borderId="0" xfId="0" applyFont="1">
      <alignment vertical="center"/>
    </xf>
    <xf numFmtId="0" fontId="7" fillId="5" borderId="1" xfId="0" applyFont="1" applyFill="1" applyBorder="1" applyAlignment="1">
      <alignment horizontal="center" vertical="center" wrapText="1" shrinkToFit="1"/>
    </xf>
    <xf numFmtId="177" fontId="5" fillId="0" borderId="1" xfId="0" applyNumberFormat="1" applyFont="1" applyBorder="1" applyAlignment="1">
      <alignment horizontal="center" vertical="center"/>
    </xf>
    <xf numFmtId="0" fontId="0" fillId="0" borderId="0" xfId="0" applyBorder="1" applyAlignment="1">
      <alignment horizontal="center" vertical="center"/>
    </xf>
    <xf numFmtId="0" fontId="5" fillId="0" borderId="31" xfId="0" applyFont="1" applyFill="1" applyBorder="1" applyAlignment="1">
      <alignment horizontal="center" vertical="center"/>
    </xf>
    <xf numFmtId="0" fontId="6" fillId="0" borderId="41" xfId="0" applyFont="1" applyBorder="1" applyAlignment="1">
      <alignment horizontal="center" vertical="center"/>
    </xf>
    <xf numFmtId="0" fontId="6" fillId="0" borderId="33" xfId="0" applyFont="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6" xfId="0" applyNumberFormat="1" applyFill="1" applyBorder="1" applyAlignment="1">
      <alignment horizontal="center" vertical="center"/>
    </xf>
    <xf numFmtId="0" fontId="0" fillId="0" borderId="18" xfId="0"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181" fontId="0" fillId="0" borderId="17" xfId="0" applyNumberFormat="1" applyFill="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176" fontId="0" fillId="0" borderId="0"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4" borderId="24"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23" xfId="0" applyFill="1" applyBorder="1" applyAlignment="1">
      <alignment horizontal="center" vertical="center" shrinkToFi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14" fillId="0" borderId="0" xfId="0" applyFont="1" applyAlignment="1">
      <alignment horizontal="center" vertical="center" shrinkToFit="1"/>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 fillId="4" borderId="18" xfId="0" applyFont="1" applyFill="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79" fontId="39" fillId="8" borderId="12" xfId="0" applyNumberFormat="1" applyFont="1" applyFill="1" applyBorder="1" applyAlignment="1">
      <alignment horizontal="center" vertical="center"/>
    </xf>
    <xf numFmtId="179"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1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19</xdr:row>
      <xdr:rowOff>26275</xdr:rowOff>
    </xdr:from>
    <xdr:to>
      <xdr:col>14</xdr:col>
      <xdr:colOff>315311</xdr:colOff>
      <xdr:row>24</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19</xdr:row>
      <xdr:rowOff>0</xdr:rowOff>
    </xdr:from>
    <xdr:to>
      <xdr:col>14</xdr:col>
      <xdr:colOff>352246</xdr:colOff>
      <xdr:row>27</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28</xdr:row>
      <xdr:rowOff>0</xdr:rowOff>
    </xdr:from>
    <xdr:to>
      <xdr:col>14</xdr:col>
      <xdr:colOff>353684</xdr:colOff>
      <xdr:row>45</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17</xdr:row>
      <xdr:rowOff>21980</xdr:rowOff>
    </xdr:from>
    <xdr:to>
      <xdr:col>12</xdr:col>
      <xdr:colOff>349730</xdr:colOff>
      <xdr:row>17</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17</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17</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21981</xdr:rowOff>
    </xdr:from>
    <xdr:to>
      <xdr:col>12</xdr:col>
      <xdr:colOff>349730</xdr:colOff>
      <xdr:row>43</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45</xdr:row>
      <xdr:rowOff>7327</xdr:rowOff>
    </xdr:from>
    <xdr:to>
      <xdr:col>12</xdr:col>
      <xdr:colOff>349730</xdr:colOff>
      <xdr:row>45</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28</xdr:row>
      <xdr:rowOff>39414</xdr:rowOff>
    </xdr:from>
    <xdr:to>
      <xdr:col>14</xdr:col>
      <xdr:colOff>308742</xdr:colOff>
      <xdr:row>45</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42</xdr:row>
      <xdr:rowOff>205490</xdr:rowOff>
    </xdr:from>
    <xdr:to>
      <xdr:col>14</xdr:col>
      <xdr:colOff>620889</xdr:colOff>
      <xdr:row>44</xdr:row>
      <xdr:rowOff>140299</xdr:rowOff>
    </xdr:to>
    <xdr:grpSp>
      <xdr:nvGrpSpPr>
        <xdr:cNvPr id="7" name="グループ化 6"/>
        <xdr:cNvGrpSpPr/>
      </xdr:nvGrpSpPr>
      <xdr:grpSpPr>
        <a:xfrm>
          <a:off x="2578219" y="10388581"/>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48</xdr:row>
      <xdr:rowOff>190500</xdr:rowOff>
    </xdr:from>
    <xdr:to>
      <xdr:col>18</xdr:col>
      <xdr:colOff>450272</xdr:colOff>
      <xdr:row>48</xdr:row>
      <xdr:rowOff>192383</xdr:rowOff>
    </xdr:to>
    <xdr:cxnSp macro="">
      <xdr:nvCxnSpPr>
        <xdr:cNvPr id="346" name="カギ線コネクタ 28"/>
        <xdr:cNvCxnSpPr>
          <a:endCxn id="49" idx="3"/>
        </xdr:cNvCxnSpPr>
      </xdr:nvCxnSpPr>
      <xdr:spPr>
        <a:xfrm flipH="1">
          <a:off x="10320766" y="11828318"/>
          <a:ext cx="2581279" cy="188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47</xdr:row>
      <xdr:rowOff>161055</xdr:rowOff>
    </xdr:from>
    <xdr:to>
      <xdr:col>16</xdr:col>
      <xdr:colOff>289579</xdr:colOff>
      <xdr:row>48</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48</xdr:row>
      <xdr:rowOff>17021</xdr:rowOff>
    </xdr:from>
    <xdr:to>
      <xdr:col>14</xdr:col>
      <xdr:colOff>622584</xdr:colOff>
      <xdr:row>49</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18</xdr:col>
      <xdr:colOff>282837</xdr:colOff>
      <xdr:row>44</xdr:row>
      <xdr:rowOff>113077</xdr:rowOff>
    </xdr:from>
    <xdr:to>
      <xdr:col>22</xdr:col>
      <xdr:colOff>54465</xdr:colOff>
      <xdr:row>53</xdr:row>
      <xdr:rowOff>51954</xdr:rowOff>
    </xdr:to>
    <xdr:grpSp>
      <xdr:nvGrpSpPr>
        <xdr:cNvPr id="112" name="グループ化 111"/>
        <xdr:cNvGrpSpPr/>
      </xdr:nvGrpSpPr>
      <xdr:grpSpPr>
        <a:xfrm>
          <a:off x="12734610" y="10781077"/>
          <a:ext cx="2542537" cy="2120968"/>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43</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9</xdr:col>
      <xdr:colOff>502228</xdr:colOff>
      <xdr:row>37</xdr:row>
      <xdr:rowOff>55673</xdr:rowOff>
    </xdr:from>
    <xdr:to>
      <xdr:col>15</xdr:col>
      <xdr:colOff>501853</xdr:colOff>
      <xdr:row>38</xdr:row>
      <xdr:rowOff>166632</xdr:rowOff>
    </xdr:to>
    <xdr:grpSp>
      <xdr:nvGrpSpPr>
        <xdr:cNvPr id="45" name="グループ化 44"/>
        <xdr:cNvGrpSpPr/>
      </xdr:nvGrpSpPr>
      <xdr:grpSpPr>
        <a:xfrm>
          <a:off x="6736773" y="9026491"/>
          <a:ext cx="4155989" cy="353414"/>
          <a:chOff x="-168399" y="8477330"/>
          <a:chExt cx="4154993" cy="355053"/>
        </a:xfrm>
      </xdr:grpSpPr>
      <xdr:cxnSp macro="">
        <xdr:nvCxnSpPr>
          <xdr:cNvPr id="57" name="カギ線コネクタ 40"/>
          <xdr:cNvCxnSpPr>
            <a:endCxn id="64" idx="1"/>
          </xdr:cNvCxnSpPr>
        </xdr:nvCxnSpPr>
        <xdr:spPr>
          <a:xfrm>
            <a:off x="-168399" y="8647580"/>
            <a:ext cx="1597883" cy="7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4" name="正方形/長方形 63"/>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200">
                <a:solidFill>
                  <a:schemeClr val="tx1"/>
                </a:solidFill>
              </a:rPr>
              <a:t>1</a:t>
            </a:r>
            <a:r>
              <a:rPr kumimoji="1" lang="ja-JP" altLang="en-US" sz="1200">
                <a:solidFill>
                  <a:schemeClr val="tx1"/>
                </a:solidFill>
              </a:rPr>
              <a:t>歳児配置改善加算</a:t>
            </a:r>
          </a:p>
        </xdr:txBody>
      </xdr:sp>
    </xdr:grpSp>
    <xdr:clientData/>
  </xdr:twoCellAnchor>
  <xdr:twoCellAnchor>
    <xdr:from>
      <xdr:col>10</xdr:col>
      <xdr:colOff>103909</xdr:colOff>
      <xdr:row>37</xdr:row>
      <xdr:rowOff>17318</xdr:rowOff>
    </xdr:from>
    <xdr:to>
      <xdr:col>11</xdr:col>
      <xdr:colOff>173181</xdr:colOff>
      <xdr:row>38</xdr:row>
      <xdr:rowOff>225137</xdr:rowOff>
    </xdr:to>
    <xdr:sp macro="" textlink="">
      <xdr:nvSpPr>
        <xdr:cNvPr id="65" name="正方形/長方形 64"/>
        <xdr:cNvSpPr/>
      </xdr:nvSpPr>
      <xdr:spPr>
        <a:xfrm>
          <a:off x="7031182" y="8988136"/>
          <a:ext cx="761999" cy="4502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000">
              <a:solidFill>
                <a:schemeClr val="tx1"/>
              </a:solidFill>
            </a:rPr>
            <a:t>ICT</a:t>
          </a:r>
          <a:r>
            <a:rPr kumimoji="1" lang="ja-JP" altLang="en-US" sz="1000">
              <a:solidFill>
                <a:schemeClr val="tx1"/>
              </a:solidFill>
            </a:rPr>
            <a:t>の活用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8"/>
  <sheetViews>
    <sheetView tabSelected="1" view="pageBreakPreview" zoomScale="145" zoomScaleNormal="100" zoomScaleSheetLayoutView="145" workbookViewId="0">
      <selection activeCell="N4" sqref="N4"/>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33" t="str">
        <f>"教育・保育給付に係る加算等確認表（"&amp;A9&amp;")"</f>
        <v>教育・保育給付に係る加算等確認表（小規模保育事業A型)</v>
      </c>
      <c r="B1" s="233"/>
      <c r="C1" s="233"/>
      <c r="D1" s="233"/>
      <c r="E1" s="233"/>
      <c r="F1" s="233"/>
      <c r="G1" s="233"/>
      <c r="H1" s="233"/>
      <c r="I1" s="233"/>
      <c r="J1" s="10"/>
    </row>
    <row r="2" spans="1:14">
      <c r="J2" s="160">
        <f>改修履歴!A1</f>
        <v>1</v>
      </c>
      <c r="M2" s="58" t="s">
        <v>128</v>
      </c>
      <c r="N2" s="44">
        <f>COUNTIF(J4:J9,"〇")</f>
        <v>3</v>
      </c>
    </row>
    <row r="3" spans="1:14" ht="19.5" thickBot="1">
      <c r="A3" t="s">
        <v>156</v>
      </c>
      <c r="E3" s="241" t="s">
        <v>112</v>
      </c>
      <c r="F3" s="241"/>
      <c r="G3" s="241"/>
      <c r="H3" s="241"/>
      <c r="I3" s="241"/>
      <c r="J3" s="241"/>
      <c r="M3" s="229" t="s">
        <v>79</v>
      </c>
      <c r="N3" s="44">
        <f>COUNTIF(J4:J8,"〇")</f>
        <v>3</v>
      </c>
    </row>
    <row r="4" spans="1:14" ht="19.5" thickBot="1">
      <c r="A4" s="234">
        <v>45748</v>
      </c>
      <c r="B4" s="235"/>
      <c r="C4" t="s">
        <v>18</v>
      </c>
      <c r="D4" s="18"/>
      <c r="E4" s="231" t="s">
        <v>20</v>
      </c>
      <c r="F4" s="231"/>
      <c r="G4" s="232"/>
      <c r="H4" s="232"/>
      <c r="I4" s="232"/>
      <c r="J4" s="17" t="s">
        <v>51</v>
      </c>
      <c r="M4" s="230"/>
      <c r="N4" s="44">
        <f>IF(N3&gt;1,1,0)</f>
        <v>1</v>
      </c>
    </row>
    <row r="5" spans="1:14" ht="19.5" thickBot="1">
      <c r="D5" s="18"/>
      <c r="E5" s="231" t="s">
        <v>22</v>
      </c>
      <c r="F5" s="231"/>
      <c r="G5" s="232"/>
      <c r="H5" s="232"/>
      <c r="I5" s="232"/>
      <c r="J5" s="17"/>
    </row>
    <row r="6" spans="1:14" ht="19.5" thickBot="1">
      <c r="A6" s="3" t="s">
        <v>23</v>
      </c>
      <c r="D6" s="18"/>
      <c r="E6" s="231" t="s">
        <v>21</v>
      </c>
      <c r="F6" s="231"/>
      <c r="G6" s="232"/>
      <c r="H6" s="232"/>
      <c r="I6" s="232"/>
      <c r="J6" s="17"/>
    </row>
    <row r="7" spans="1:14" ht="19.5" thickBot="1">
      <c r="A7" s="238" t="s">
        <v>238</v>
      </c>
      <c r="B7" s="239"/>
      <c r="C7" s="240"/>
      <c r="D7" s="18"/>
      <c r="E7" s="231" t="s">
        <v>126</v>
      </c>
      <c r="F7" s="231"/>
      <c r="G7" s="232"/>
      <c r="H7" s="232"/>
      <c r="I7" s="232"/>
      <c r="J7" s="17" t="s">
        <v>51</v>
      </c>
      <c r="K7" s="224" t="str">
        <f>IF(K27=0,"選択不可","選択可")</f>
        <v>選択可</v>
      </c>
    </row>
    <row r="8" spans="1:14" ht="19.5" thickBot="1">
      <c r="A8" s="110" t="s">
        <v>109</v>
      </c>
      <c r="B8" s="2"/>
      <c r="D8" s="18"/>
      <c r="E8" s="231" t="s">
        <v>127</v>
      </c>
      <c r="F8" s="231"/>
      <c r="G8" s="232"/>
      <c r="H8" s="232"/>
      <c r="I8" s="232"/>
      <c r="J8" s="17" t="s">
        <v>51</v>
      </c>
      <c r="K8" s="224" t="str">
        <f>IF(K28=0,"選択不可","選択可")</f>
        <v>選択可</v>
      </c>
    </row>
    <row r="9" spans="1:14" ht="19.5" thickBot="1">
      <c r="A9" s="238" t="s">
        <v>191</v>
      </c>
      <c r="B9" s="239"/>
      <c r="C9" s="240"/>
      <c r="D9" s="19"/>
      <c r="E9" s="231" t="s">
        <v>220</v>
      </c>
      <c r="F9" s="231"/>
      <c r="G9" s="232"/>
      <c r="H9" s="232"/>
      <c r="I9" s="232"/>
      <c r="J9" s="196"/>
    </row>
    <row r="10" spans="1:14">
      <c r="A10" s="109"/>
      <c r="B10" s="109"/>
      <c r="D10" s="19"/>
    </row>
    <row r="11" spans="1:14" ht="19.5" thickBot="1">
      <c r="A11" t="s">
        <v>19</v>
      </c>
      <c r="D11" s="19"/>
      <c r="E11" s="241" t="s">
        <v>215</v>
      </c>
      <c r="F11" s="241"/>
      <c r="G11" s="241"/>
      <c r="H11" s="241"/>
      <c r="I11" s="241"/>
      <c r="J11" s="241"/>
      <c r="M11" s="199" t="s">
        <v>221</v>
      </c>
      <c r="N11" s="199" t="s">
        <v>184</v>
      </c>
    </row>
    <row r="12" spans="1:14" ht="19.5" thickBot="1">
      <c r="A12" s="236">
        <v>160</v>
      </c>
      <c r="B12" s="237"/>
      <c r="C12" t="s">
        <v>17</v>
      </c>
      <c r="D12" s="19"/>
      <c r="E12" s="231" t="s">
        <v>216</v>
      </c>
      <c r="F12" s="231"/>
      <c r="G12" s="232"/>
      <c r="H12" s="232"/>
      <c r="I12" s="232"/>
      <c r="J12" s="17" t="s">
        <v>51</v>
      </c>
      <c r="M12" s="200" t="s">
        <v>222</v>
      </c>
      <c r="N12" s="200">
        <f>COUNTIF(J12,"〇")</f>
        <v>1</v>
      </c>
    </row>
    <row r="13" spans="1:14" ht="19.5" thickBot="1">
      <c r="D13" s="19"/>
      <c r="E13" s="231" t="s">
        <v>217</v>
      </c>
      <c r="F13" s="231"/>
      <c r="G13" s="232"/>
      <c r="H13" s="232"/>
      <c r="I13" s="232"/>
      <c r="J13" s="17"/>
      <c r="M13" s="200" t="s">
        <v>223</v>
      </c>
      <c r="N13" s="200">
        <f>COUNTIF(J13:J15,"〇")</f>
        <v>1</v>
      </c>
    </row>
    <row r="14" spans="1:14" ht="19.5" thickBot="1">
      <c r="A14" s="193" t="s">
        <v>213</v>
      </c>
      <c r="D14" s="19"/>
      <c r="E14" s="231" t="s">
        <v>218</v>
      </c>
      <c r="F14" s="231"/>
      <c r="G14" s="232"/>
      <c r="H14" s="232"/>
      <c r="I14" s="232"/>
      <c r="J14" s="17" t="s">
        <v>51</v>
      </c>
    </row>
    <row r="15" spans="1:14" ht="19.5" thickBot="1">
      <c r="A15" s="190">
        <v>12</v>
      </c>
      <c r="B15" s="191" t="s">
        <v>212</v>
      </c>
      <c r="D15" s="19"/>
      <c r="E15" s="231" t="s">
        <v>219</v>
      </c>
      <c r="F15" s="231"/>
      <c r="G15" s="232"/>
      <c r="H15" s="232"/>
      <c r="I15" s="232"/>
      <c r="J15" s="17"/>
    </row>
    <row r="16" spans="1:14">
      <c r="A16" s="195" t="s">
        <v>214</v>
      </c>
    </row>
    <row r="18" spans="1:11" s="194" customFormat="1">
      <c r="K18" s="195"/>
    </row>
    <row r="19" spans="1:11" s="194" customFormat="1">
      <c r="K19" s="195"/>
    </row>
    <row r="20" spans="1:11" ht="19.5" thickBot="1">
      <c r="A20" s="163" t="s">
        <v>114</v>
      </c>
    </row>
    <row r="21" spans="1:11">
      <c r="A21" s="1"/>
      <c r="B21" s="1" t="s">
        <v>0</v>
      </c>
      <c r="C21" s="1" t="s">
        <v>1</v>
      </c>
      <c r="D21" s="1" t="s">
        <v>2</v>
      </c>
      <c r="E21" s="20" t="s">
        <v>3</v>
      </c>
      <c r="F21" s="4"/>
      <c r="G21" s="4"/>
      <c r="H21" s="4"/>
      <c r="I21" s="4"/>
      <c r="K21"/>
    </row>
    <row r="22" spans="1:11" ht="19.5" thickBot="1">
      <c r="A22" s="1" t="s">
        <v>113</v>
      </c>
      <c r="B22" s="12">
        <v>3</v>
      </c>
      <c r="C22" s="12">
        <v>8</v>
      </c>
      <c r="D22" s="12">
        <v>8</v>
      </c>
      <c r="E22" s="157">
        <f>SUM(B22:D22)</f>
        <v>19</v>
      </c>
      <c r="F22" s="4"/>
      <c r="G22" s="4"/>
      <c r="H22" s="4"/>
      <c r="I22" s="4"/>
      <c r="K22"/>
    </row>
    <row r="25" spans="1:11">
      <c r="A25" t="s">
        <v>183</v>
      </c>
    </row>
    <row r="26" spans="1:11">
      <c r="A26" s="152"/>
      <c r="B26" s="1" t="s">
        <v>172</v>
      </c>
      <c r="C26" s="1" t="s">
        <v>173</v>
      </c>
      <c r="D26" s="1" t="s">
        <v>174</v>
      </c>
      <c r="E26" s="1" t="s">
        <v>175</v>
      </c>
      <c r="F26" s="1" t="s">
        <v>176</v>
      </c>
      <c r="G26" s="1" t="s">
        <v>177</v>
      </c>
      <c r="H26" s="1" t="s">
        <v>178</v>
      </c>
      <c r="I26" s="1" t="s">
        <v>179</v>
      </c>
      <c r="J26" s="1" t="s">
        <v>182</v>
      </c>
    </row>
    <row r="27" spans="1:11">
      <c r="A27" s="1" t="s">
        <v>180</v>
      </c>
      <c r="B27" s="12">
        <v>1</v>
      </c>
      <c r="C27" s="12">
        <v>2</v>
      </c>
      <c r="D27" s="12">
        <v>2</v>
      </c>
      <c r="E27" s="12">
        <v>3</v>
      </c>
      <c r="F27" s="12">
        <v>3</v>
      </c>
      <c r="G27" s="12">
        <v>3</v>
      </c>
      <c r="H27" s="12">
        <v>3</v>
      </c>
      <c r="I27" s="12">
        <v>4</v>
      </c>
      <c r="J27" s="156">
        <f>SUM(B27:I27)/8</f>
        <v>2.625</v>
      </c>
      <c r="K27" s="201">
        <f>IF(I27&lt;1,0,1)</f>
        <v>1</v>
      </c>
    </row>
    <row r="28" spans="1:11">
      <c r="A28" s="1" t="s">
        <v>181</v>
      </c>
      <c r="B28" s="12">
        <v>1</v>
      </c>
      <c r="C28" s="12">
        <v>1</v>
      </c>
      <c r="D28" s="12">
        <v>1</v>
      </c>
      <c r="E28" s="12">
        <v>1</v>
      </c>
      <c r="F28" s="12">
        <v>1</v>
      </c>
      <c r="G28" s="12">
        <v>1</v>
      </c>
      <c r="H28" s="12">
        <v>1</v>
      </c>
      <c r="I28" s="12">
        <v>1</v>
      </c>
      <c r="J28" s="156">
        <f>SUM(B28:I28)/8</f>
        <v>1</v>
      </c>
      <c r="K28" s="201">
        <f>IF(I28&lt;1,0,1)</f>
        <v>1</v>
      </c>
    </row>
  </sheetData>
  <mergeCells count="18">
    <mergeCell ref="A1:I1"/>
    <mergeCell ref="A4:B4"/>
    <mergeCell ref="A12:B12"/>
    <mergeCell ref="A7:C7"/>
    <mergeCell ref="E3:J3"/>
    <mergeCell ref="E4:I4"/>
    <mergeCell ref="E5:I5"/>
    <mergeCell ref="E6:I6"/>
    <mergeCell ref="E7:I7"/>
    <mergeCell ref="E8:I8"/>
    <mergeCell ref="A9:C9"/>
    <mergeCell ref="E12:I12"/>
    <mergeCell ref="E11:J11"/>
    <mergeCell ref="M3:M4"/>
    <mergeCell ref="E13:I13"/>
    <mergeCell ref="E14:I14"/>
    <mergeCell ref="E15:I15"/>
    <mergeCell ref="E9:I9"/>
  </mergeCells>
  <phoneticPr fontId="1"/>
  <dataValidations count="2">
    <dataValidation type="list" allowBlank="1" showInputMessage="1" showErrorMessage="1" sqref="J4:J9 J12:J15">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C11" sqref="C11"/>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44" t="str">
        <f>①基本情報!A1</f>
        <v>教育・保育給付に係る加算等確認表（小規模保育事業A型)</v>
      </c>
      <c r="B1" s="244"/>
      <c r="C1" s="244"/>
      <c r="D1" s="244"/>
      <c r="E1" s="244"/>
      <c r="F1" s="244"/>
      <c r="G1" s="244"/>
      <c r="H1" s="8"/>
    </row>
    <row r="2" spans="1:18" ht="9" customHeight="1">
      <c r="A2" s="7"/>
      <c r="B2" s="8"/>
      <c r="C2" s="8"/>
      <c r="D2" s="8"/>
      <c r="E2" s="8"/>
      <c r="F2" s="8"/>
      <c r="G2" s="8"/>
      <c r="H2" s="161">
        <f>改修履歴!A1</f>
        <v>1</v>
      </c>
    </row>
    <row r="3" spans="1:18" ht="19.5" thickBot="1">
      <c r="A3" s="3" t="s">
        <v>23</v>
      </c>
      <c r="G3" s="245" t="s">
        <v>156</v>
      </c>
      <c r="H3" s="245"/>
    </row>
    <row r="4" spans="1:18" ht="19.5" thickBot="1">
      <c r="A4" s="246" t="str">
        <f>①基本情報!A7</f>
        <v>記載例小規模保育所</v>
      </c>
      <c r="B4" s="247"/>
      <c r="C4" s="248"/>
      <c r="D4" s="97"/>
      <c r="G4" s="242">
        <f>①基本情報!A4</f>
        <v>45748</v>
      </c>
      <c r="H4" s="243"/>
    </row>
    <row r="5" spans="1:18" ht="8.25" customHeight="1"/>
    <row r="6" spans="1:18">
      <c r="G6" s="9" t="s">
        <v>16</v>
      </c>
      <c r="H6" s="16">
        <v>45748</v>
      </c>
    </row>
    <row r="7" spans="1:18" ht="26.25" thickBot="1">
      <c r="A7" s="5" t="s">
        <v>9</v>
      </c>
      <c r="B7" s="119" t="s">
        <v>15</v>
      </c>
      <c r="C7" s="1" t="s">
        <v>10</v>
      </c>
      <c r="D7" s="119" t="s">
        <v>11</v>
      </c>
      <c r="E7" s="1" t="s">
        <v>12</v>
      </c>
      <c r="F7" s="1" t="s">
        <v>13</v>
      </c>
      <c r="G7" s="114" t="s">
        <v>119</v>
      </c>
      <c r="H7" s="1" t="s">
        <v>14</v>
      </c>
    </row>
    <row r="8" spans="1:18" ht="12" customHeight="1" thickBot="1">
      <c r="A8" s="5">
        <v>1</v>
      </c>
      <c r="B8" s="11">
        <f>IF(D8="","",(DATEDIF(D8,$H$6,"Y")))</f>
        <v>2</v>
      </c>
      <c r="C8" s="13" t="s">
        <v>240</v>
      </c>
      <c r="D8" s="14">
        <v>44682</v>
      </c>
      <c r="E8" s="13" t="s">
        <v>88</v>
      </c>
      <c r="F8" s="13" t="s">
        <v>39</v>
      </c>
      <c r="G8" s="120"/>
      <c r="H8" s="15"/>
      <c r="J8" s="24"/>
      <c r="K8" s="24">
        <v>0</v>
      </c>
      <c r="L8" s="24">
        <v>1</v>
      </c>
      <c r="M8" s="24">
        <v>2</v>
      </c>
      <c r="N8" s="24">
        <v>3</v>
      </c>
      <c r="O8" s="24">
        <v>4</v>
      </c>
      <c r="P8" s="25">
        <v>5</v>
      </c>
      <c r="Q8" s="26" t="s">
        <v>3</v>
      </c>
      <c r="R8" s="37"/>
    </row>
    <row r="9" spans="1:18" ht="12" customHeight="1">
      <c r="A9" s="5">
        <v>2</v>
      </c>
      <c r="B9" s="11">
        <f t="shared" ref="B9:B47" si="0">IF(D9="","",(DATEDIF(D9,$H$6,"Y")))</f>
        <v>2</v>
      </c>
      <c r="C9" s="13" t="s">
        <v>240</v>
      </c>
      <c r="D9" s="14">
        <v>44683</v>
      </c>
      <c r="E9" s="13" t="s">
        <v>88</v>
      </c>
      <c r="F9" s="13" t="s">
        <v>39</v>
      </c>
      <c r="G9" s="120" t="s">
        <v>257</v>
      </c>
      <c r="H9" s="15"/>
      <c r="J9" s="24" t="s">
        <v>89</v>
      </c>
      <c r="K9" s="27"/>
      <c r="L9" s="27"/>
      <c r="M9" s="27">
        <f>COUNTIFS($B$8:$B$47,M$8,$E$8:$E$47,$J9)</f>
        <v>0</v>
      </c>
      <c r="N9" s="30">
        <f>COUNTIFS($B$8:$B$47,N$8,$E$8:$E$47,$J9)</f>
        <v>0</v>
      </c>
      <c r="O9" s="30">
        <f>COUNTIFS($B$8:$B$47,O$8,$E$8:$E$47,$J9)</f>
        <v>0</v>
      </c>
      <c r="P9" s="30">
        <f>COUNTIFS($B$8:$B$47,P$8,$E$8:$E$47,$J9)</f>
        <v>0</v>
      </c>
      <c r="Q9" s="28">
        <f>SUM(K9:P9)</f>
        <v>0</v>
      </c>
      <c r="R9" s="249">
        <f>(SUM(Q9:Q10)/SUM(①基本情報!E22))</f>
        <v>0.73684210526315785</v>
      </c>
    </row>
    <row r="10" spans="1:18" ht="12" customHeight="1" thickBot="1">
      <c r="A10" s="5">
        <v>3</v>
      </c>
      <c r="B10" s="11">
        <f t="shared" si="0"/>
        <v>2</v>
      </c>
      <c r="C10" s="13" t="s">
        <v>240</v>
      </c>
      <c r="D10" s="14">
        <v>44684</v>
      </c>
      <c r="E10" s="13" t="s">
        <v>88</v>
      </c>
      <c r="F10" s="13" t="s">
        <v>39</v>
      </c>
      <c r="G10" s="120"/>
      <c r="H10" s="15"/>
      <c r="J10" s="29" t="s">
        <v>90</v>
      </c>
      <c r="K10" s="27">
        <f>COUNTIFS($B$8:$B$47,K$8,$E$8:$E$47,$J10)</f>
        <v>1</v>
      </c>
      <c r="L10" s="27">
        <f>COUNTIFS($B$8:$B$47,L$8,$E$8:$E$47,$J10)</f>
        <v>7</v>
      </c>
      <c r="M10" s="27">
        <f>COUNTIFS($B$8:$B$47,M$8,$E$8:$E$47,$J10)</f>
        <v>6</v>
      </c>
      <c r="N10" s="30"/>
      <c r="O10" s="30"/>
      <c r="P10" s="31"/>
      <c r="Q10" s="32">
        <f t="shared" ref="Q10:Q11" si="1">SUM(K10:P10)</f>
        <v>14</v>
      </c>
      <c r="R10" s="250"/>
    </row>
    <row r="11" spans="1:18" ht="12" customHeight="1" thickBot="1">
      <c r="A11" s="5">
        <v>4</v>
      </c>
      <c r="B11" s="11">
        <f t="shared" si="0"/>
        <v>2</v>
      </c>
      <c r="C11" s="13" t="s">
        <v>240</v>
      </c>
      <c r="D11" s="14">
        <v>44685</v>
      </c>
      <c r="E11" s="13" t="s">
        <v>88</v>
      </c>
      <c r="F11" s="13" t="s">
        <v>39</v>
      </c>
      <c r="G11" s="120"/>
      <c r="H11" s="15"/>
      <c r="J11" s="33" t="s">
        <v>3</v>
      </c>
      <c r="K11" s="34">
        <f t="shared" ref="K11:P11" si="2">SUM(K9:K10)</f>
        <v>1</v>
      </c>
      <c r="L11" s="34">
        <f t="shared" si="2"/>
        <v>7</v>
      </c>
      <c r="M11" s="34">
        <f t="shared" si="2"/>
        <v>6</v>
      </c>
      <c r="N11" s="34">
        <f t="shared" si="2"/>
        <v>0</v>
      </c>
      <c r="O11" s="34">
        <f t="shared" si="2"/>
        <v>0</v>
      </c>
      <c r="P11" s="35">
        <f t="shared" si="2"/>
        <v>0</v>
      </c>
      <c r="Q11" s="36">
        <f t="shared" si="1"/>
        <v>14</v>
      </c>
      <c r="R11" s="37"/>
    </row>
    <row r="12" spans="1:18" ht="12" customHeight="1">
      <c r="A12" s="5">
        <v>5</v>
      </c>
      <c r="B12" s="11">
        <f t="shared" si="0"/>
        <v>2</v>
      </c>
      <c r="C12" s="13" t="s">
        <v>240</v>
      </c>
      <c r="D12" s="14">
        <v>44686</v>
      </c>
      <c r="E12" s="13" t="s">
        <v>88</v>
      </c>
      <c r="F12" s="13" t="s">
        <v>39</v>
      </c>
      <c r="G12" s="120"/>
      <c r="H12" s="15"/>
    </row>
    <row r="13" spans="1:18" ht="12" customHeight="1" thickBot="1">
      <c r="A13" s="5">
        <v>6</v>
      </c>
      <c r="B13" s="11">
        <f t="shared" si="0"/>
        <v>2</v>
      </c>
      <c r="C13" s="13" t="s">
        <v>240</v>
      </c>
      <c r="D13" s="14">
        <v>44687</v>
      </c>
      <c r="E13" s="13" t="s">
        <v>88</v>
      </c>
      <c r="F13" s="13" t="s">
        <v>239</v>
      </c>
      <c r="G13" s="120"/>
      <c r="H13" s="15"/>
      <c r="J13" s="123" t="s">
        <v>145</v>
      </c>
    </row>
    <row r="14" spans="1:18" ht="12" customHeight="1" thickBot="1">
      <c r="A14" s="5">
        <v>7</v>
      </c>
      <c r="B14" s="11">
        <f t="shared" si="0"/>
        <v>1</v>
      </c>
      <c r="C14" s="13" t="s">
        <v>240</v>
      </c>
      <c r="D14" s="14">
        <v>45078</v>
      </c>
      <c r="E14" s="13" t="s">
        <v>88</v>
      </c>
      <c r="F14" s="13" t="s">
        <v>39</v>
      </c>
      <c r="G14" s="120"/>
      <c r="H14" s="15"/>
      <c r="J14" s="24"/>
      <c r="K14" s="24">
        <v>0</v>
      </c>
      <c r="L14" s="24">
        <v>1</v>
      </c>
      <c r="M14" s="24">
        <v>2</v>
      </c>
      <c r="N14" s="24">
        <v>3</v>
      </c>
      <c r="O14" s="24">
        <v>4</v>
      </c>
      <c r="P14" s="25">
        <v>5</v>
      </c>
      <c r="Q14" s="26" t="s">
        <v>3</v>
      </c>
    </row>
    <row r="15" spans="1:18" ht="12" customHeight="1" thickBot="1">
      <c r="A15" s="5">
        <v>8</v>
      </c>
      <c r="B15" s="11">
        <f t="shared" si="0"/>
        <v>1</v>
      </c>
      <c r="C15" s="13" t="s">
        <v>240</v>
      </c>
      <c r="D15" s="14">
        <v>45079</v>
      </c>
      <c r="E15" s="13" t="s">
        <v>88</v>
      </c>
      <c r="F15" s="13" t="s">
        <v>39</v>
      </c>
      <c r="G15" s="120"/>
      <c r="H15" s="15"/>
      <c r="J15" s="33" t="s">
        <v>3</v>
      </c>
      <c r="K15" s="34">
        <f>COUNTIFS($B$8:$B$47,K14,$G$8:$G$47,"加算対象者")</f>
        <v>0</v>
      </c>
      <c r="L15" s="34">
        <f t="shared" ref="L15:P15" si="3">COUNTIFS($B$8:$B$47,L14,$G$8:$G$47,"加算対象者")</f>
        <v>0</v>
      </c>
      <c r="M15" s="34">
        <f t="shared" si="3"/>
        <v>1</v>
      </c>
      <c r="N15" s="34">
        <f t="shared" si="3"/>
        <v>0</v>
      </c>
      <c r="O15" s="34">
        <f t="shared" si="3"/>
        <v>0</v>
      </c>
      <c r="P15" s="35">
        <f t="shared" si="3"/>
        <v>0</v>
      </c>
      <c r="Q15" s="36">
        <f t="shared" ref="Q15" si="4">SUM(K15:P15)</f>
        <v>1</v>
      </c>
    </row>
    <row r="16" spans="1:18" ht="12" customHeight="1">
      <c r="A16" s="5">
        <v>9</v>
      </c>
      <c r="B16" s="11">
        <f t="shared" si="0"/>
        <v>1</v>
      </c>
      <c r="C16" s="13" t="s">
        <v>240</v>
      </c>
      <c r="D16" s="14">
        <v>45080</v>
      </c>
      <c r="E16" s="13" t="s">
        <v>88</v>
      </c>
      <c r="F16" s="13" t="s">
        <v>39</v>
      </c>
      <c r="G16" s="120"/>
      <c r="H16" s="15"/>
    </row>
    <row r="17" spans="1:17" ht="12" customHeight="1" thickBot="1">
      <c r="A17" s="5">
        <v>10</v>
      </c>
      <c r="B17" s="11">
        <f t="shared" si="0"/>
        <v>1</v>
      </c>
      <c r="C17" s="13" t="s">
        <v>240</v>
      </c>
      <c r="D17" s="14">
        <v>45081</v>
      </c>
      <c r="E17" s="13" t="s">
        <v>88</v>
      </c>
      <c r="F17" s="13" t="s">
        <v>39</v>
      </c>
      <c r="G17" s="120"/>
      <c r="H17" s="15"/>
      <c r="J17" s="123" t="s">
        <v>144</v>
      </c>
    </row>
    <row r="18" spans="1:17" ht="12" customHeight="1" thickBot="1">
      <c r="A18" s="5">
        <v>11</v>
      </c>
      <c r="B18" s="11">
        <f t="shared" si="0"/>
        <v>1</v>
      </c>
      <c r="C18" s="13" t="s">
        <v>240</v>
      </c>
      <c r="D18" s="14">
        <v>45082</v>
      </c>
      <c r="E18" s="13" t="s">
        <v>88</v>
      </c>
      <c r="F18" s="13" t="s">
        <v>39</v>
      </c>
      <c r="G18" s="120"/>
      <c r="H18" s="15"/>
      <c r="J18" s="24"/>
      <c r="K18" s="24">
        <v>0</v>
      </c>
      <c r="L18" s="24">
        <v>1</v>
      </c>
      <c r="M18" s="24">
        <v>2</v>
      </c>
      <c r="N18" s="24">
        <v>3</v>
      </c>
      <c r="O18" s="24">
        <v>4</v>
      </c>
      <c r="P18" s="25">
        <v>5</v>
      </c>
      <c r="Q18" s="26" t="s">
        <v>3</v>
      </c>
    </row>
    <row r="19" spans="1:17" ht="12" customHeight="1" thickBot="1">
      <c r="A19" s="5">
        <v>12</v>
      </c>
      <c r="B19" s="11">
        <f t="shared" si="0"/>
        <v>1</v>
      </c>
      <c r="C19" s="13" t="s">
        <v>240</v>
      </c>
      <c r="D19" s="14">
        <v>45083</v>
      </c>
      <c r="E19" s="13" t="s">
        <v>88</v>
      </c>
      <c r="F19" s="13" t="s">
        <v>239</v>
      </c>
      <c r="G19" s="120"/>
      <c r="H19" s="15"/>
      <c r="J19" s="33" t="s">
        <v>3</v>
      </c>
      <c r="K19" s="34">
        <f>K11-K15</f>
        <v>1</v>
      </c>
      <c r="L19" s="34">
        <f t="shared" ref="L19:P19" si="5">L11-L15</f>
        <v>7</v>
      </c>
      <c r="M19" s="34">
        <f t="shared" si="5"/>
        <v>5</v>
      </c>
      <c r="N19" s="34">
        <f t="shared" si="5"/>
        <v>0</v>
      </c>
      <c r="O19" s="34">
        <f t="shared" si="5"/>
        <v>0</v>
      </c>
      <c r="P19" s="35">
        <f t="shared" si="5"/>
        <v>0</v>
      </c>
      <c r="Q19" s="36">
        <f t="shared" ref="Q19" si="6">SUM(K19:P19)</f>
        <v>13</v>
      </c>
    </row>
    <row r="20" spans="1:17" ht="12" customHeight="1">
      <c r="A20" s="5">
        <v>13</v>
      </c>
      <c r="B20" s="11">
        <f t="shared" si="0"/>
        <v>1</v>
      </c>
      <c r="C20" s="13" t="s">
        <v>240</v>
      </c>
      <c r="D20" s="14">
        <v>45084</v>
      </c>
      <c r="E20" s="13" t="s">
        <v>88</v>
      </c>
      <c r="F20" s="13" t="s">
        <v>239</v>
      </c>
      <c r="G20" s="120"/>
      <c r="H20" s="15"/>
    </row>
    <row r="21" spans="1:17" ht="12" customHeight="1">
      <c r="A21" s="5">
        <v>14</v>
      </c>
      <c r="B21" s="11">
        <f t="shared" si="0"/>
        <v>0</v>
      </c>
      <c r="C21" s="13" t="s">
        <v>240</v>
      </c>
      <c r="D21" s="14">
        <v>45474</v>
      </c>
      <c r="E21" s="13" t="s">
        <v>88</v>
      </c>
      <c r="F21" s="13" t="s">
        <v>39</v>
      </c>
      <c r="G21" s="120"/>
      <c r="H21" s="15"/>
    </row>
    <row r="22" spans="1:17" ht="12" customHeight="1">
      <c r="A22" s="5">
        <v>15</v>
      </c>
      <c r="B22" s="11" t="str">
        <f t="shared" si="0"/>
        <v/>
      </c>
      <c r="C22" s="13"/>
      <c r="D22" s="14"/>
      <c r="E22" s="13"/>
      <c r="F22" s="13"/>
      <c r="G22" s="120"/>
      <c r="H22" s="15"/>
    </row>
    <row r="23" spans="1:17" ht="12" customHeight="1">
      <c r="A23" s="5">
        <v>16</v>
      </c>
      <c r="B23" s="11" t="str">
        <f t="shared" si="0"/>
        <v/>
      </c>
      <c r="C23" s="13"/>
      <c r="D23" s="14"/>
      <c r="E23" s="13"/>
      <c r="F23" s="13"/>
      <c r="G23" s="120"/>
      <c r="H23" s="15"/>
    </row>
    <row r="24" spans="1:17" ht="12" customHeight="1">
      <c r="A24" s="5">
        <v>17</v>
      </c>
      <c r="B24" s="11" t="str">
        <f t="shared" si="0"/>
        <v/>
      </c>
      <c r="C24" s="13"/>
      <c r="D24" s="14"/>
      <c r="E24" s="13"/>
      <c r="F24" s="13"/>
      <c r="G24" s="120"/>
      <c r="H24" s="15"/>
    </row>
    <row r="25" spans="1:17" ht="12" customHeight="1">
      <c r="A25" s="5">
        <v>18</v>
      </c>
      <c r="B25" s="11" t="str">
        <f t="shared" si="0"/>
        <v/>
      </c>
      <c r="C25" s="13"/>
      <c r="D25" s="14"/>
      <c r="E25" s="13"/>
      <c r="F25" s="13"/>
      <c r="G25" s="120"/>
      <c r="H25" s="15"/>
    </row>
    <row r="26" spans="1:17" ht="12" customHeight="1">
      <c r="A26" s="5">
        <v>19</v>
      </c>
      <c r="B26" s="11" t="str">
        <f t="shared" si="0"/>
        <v/>
      </c>
      <c r="C26" s="13"/>
      <c r="D26" s="14"/>
      <c r="E26" s="13"/>
      <c r="F26" s="13"/>
      <c r="G26" s="120"/>
      <c r="H26" s="15"/>
    </row>
    <row r="27" spans="1:17" ht="12" customHeight="1">
      <c r="A27" s="5">
        <v>20</v>
      </c>
      <c r="B27" s="11" t="str">
        <f t="shared" si="0"/>
        <v/>
      </c>
      <c r="C27" s="13"/>
      <c r="D27" s="14"/>
      <c r="E27" s="13"/>
      <c r="F27" s="13"/>
      <c r="G27" s="120"/>
      <c r="H27" s="15"/>
    </row>
    <row r="28" spans="1:17" ht="12" customHeight="1">
      <c r="A28" s="5">
        <v>21</v>
      </c>
      <c r="B28" s="11" t="str">
        <f t="shared" si="0"/>
        <v/>
      </c>
      <c r="C28" s="13"/>
      <c r="D28" s="14"/>
      <c r="E28" s="13"/>
      <c r="F28" s="13"/>
      <c r="G28" s="120"/>
      <c r="H28" s="15"/>
    </row>
    <row r="29" spans="1:17" ht="12" customHeight="1">
      <c r="A29" s="5">
        <v>22</v>
      </c>
      <c r="B29" s="11" t="str">
        <f t="shared" si="0"/>
        <v/>
      </c>
      <c r="C29" s="13"/>
      <c r="D29" s="14"/>
      <c r="E29" s="13"/>
      <c r="F29" s="13"/>
      <c r="G29" s="120"/>
      <c r="H29" s="15"/>
    </row>
    <row r="30" spans="1:17" ht="12" customHeight="1">
      <c r="A30" s="5">
        <v>23</v>
      </c>
      <c r="B30" s="11" t="str">
        <f t="shared" si="0"/>
        <v/>
      </c>
      <c r="C30" s="13"/>
      <c r="D30" s="14"/>
      <c r="E30" s="13"/>
      <c r="F30" s="13"/>
      <c r="G30" s="120"/>
      <c r="H30" s="15"/>
    </row>
    <row r="31" spans="1:17" ht="12" customHeight="1">
      <c r="A31" s="5">
        <v>24</v>
      </c>
      <c r="B31" s="11" t="str">
        <f t="shared" si="0"/>
        <v/>
      </c>
      <c r="C31" s="13"/>
      <c r="D31" s="14"/>
      <c r="E31" s="13"/>
      <c r="F31" s="13"/>
      <c r="G31" s="120"/>
      <c r="H31" s="15"/>
    </row>
    <row r="32" spans="1:17" ht="12" customHeight="1">
      <c r="A32" s="5">
        <v>25</v>
      </c>
      <c r="B32" s="11" t="str">
        <f t="shared" si="0"/>
        <v/>
      </c>
      <c r="C32" s="13"/>
      <c r="D32" s="14"/>
      <c r="E32" s="13"/>
      <c r="F32" s="13"/>
      <c r="G32" s="120"/>
      <c r="H32" s="15"/>
    </row>
    <row r="33" spans="1:8" ht="12" customHeight="1">
      <c r="A33" s="5">
        <v>26</v>
      </c>
      <c r="B33" s="11" t="str">
        <f t="shared" si="0"/>
        <v/>
      </c>
      <c r="C33" s="13"/>
      <c r="D33" s="14"/>
      <c r="E33" s="13"/>
      <c r="F33" s="13"/>
      <c r="G33" s="120"/>
      <c r="H33" s="15"/>
    </row>
    <row r="34" spans="1:8" ht="12" customHeight="1">
      <c r="A34" s="5">
        <v>27</v>
      </c>
      <c r="B34" s="11" t="str">
        <f t="shared" si="0"/>
        <v/>
      </c>
      <c r="C34" s="13"/>
      <c r="D34" s="14"/>
      <c r="E34" s="13"/>
      <c r="F34" s="13"/>
      <c r="G34" s="120"/>
      <c r="H34" s="15"/>
    </row>
    <row r="35" spans="1:8" ht="12" customHeight="1">
      <c r="A35" s="5">
        <v>28</v>
      </c>
      <c r="B35" s="11" t="str">
        <f t="shared" si="0"/>
        <v/>
      </c>
      <c r="C35" s="13"/>
      <c r="D35" s="14"/>
      <c r="E35" s="13"/>
      <c r="F35" s="13"/>
      <c r="G35" s="120"/>
      <c r="H35" s="15"/>
    </row>
    <row r="36" spans="1:8" ht="12" customHeight="1">
      <c r="A36" s="5">
        <v>29</v>
      </c>
      <c r="B36" s="11" t="str">
        <f t="shared" si="0"/>
        <v/>
      </c>
      <c r="C36" s="13"/>
      <c r="D36" s="14"/>
      <c r="E36" s="13"/>
      <c r="F36" s="13"/>
      <c r="G36" s="120"/>
      <c r="H36" s="15"/>
    </row>
    <row r="37" spans="1:8" ht="12" customHeight="1">
      <c r="A37" s="5">
        <v>30</v>
      </c>
      <c r="B37" s="11" t="str">
        <f t="shared" si="0"/>
        <v/>
      </c>
      <c r="C37" s="13"/>
      <c r="D37" s="14"/>
      <c r="E37" s="13"/>
      <c r="F37" s="13"/>
      <c r="G37" s="120"/>
      <c r="H37" s="15"/>
    </row>
    <row r="38" spans="1:8" ht="12" hidden="1" customHeight="1">
      <c r="A38" s="5">
        <v>31</v>
      </c>
      <c r="B38" s="11" t="str">
        <f t="shared" si="0"/>
        <v/>
      </c>
      <c r="C38" s="13"/>
      <c r="D38" s="14"/>
      <c r="E38" s="13"/>
      <c r="F38" s="13"/>
      <c r="G38" s="120"/>
      <c r="H38" s="15"/>
    </row>
    <row r="39" spans="1:8" ht="12" hidden="1" customHeight="1">
      <c r="A39" s="5">
        <v>32</v>
      </c>
      <c r="B39" s="11" t="str">
        <f t="shared" si="0"/>
        <v/>
      </c>
      <c r="C39" s="13"/>
      <c r="D39" s="14"/>
      <c r="E39" s="13"/>
      <c r="F39" s="13"/>
      <c r="G39" s="120"/>
      <c r="H39" s="15"/>
    </row>
    <row r="40" spans="1:8" ht="12" hidden="1" customHeight="1">
      <c r="A40" s="5">
        <v>33</v>
      </c>
      <c r="B40" s="11" t="str">
        <f t="shared" si="0"/>
        <v/>
      </c>
      <c r="C40" s="13"/>
      <c r="D40" s="14"/>
      <c r="E40" s="13"/>
      <c r="F40" s="13"/>
      <c r="G40" s="120"/>
      <c r="H40" s="15"/>
    </row>
    <row r="41" spans="1:8" ht="12" hidden="1" customHeight="1">
      <c r="A41" s="5">
        <v>34</v>
      </c>
      <c r="B41" s="11" t="str">
        <f t="shared" si="0"/>
        <v/>
      </c>
      <c r="C41" s="13"/>
      <c r="D41" s="14"/>
      <c r="E41" s="13"/>
      <c r="F41" s="13"/>
      <c r="G41" s="120"/>
      <c r="H41" s="15"/>
    </row>
    <row r="42" spans="1:8" ht="12" hidden="1" customHeight="1">
      <c r="A42" s="5">
        <v>35</v>
      </c>
      <c r="B42" s="11" t="str">
        <f t="shared" si="0"/>
        <v/>
      </c>
      <c r="C42" s="13"/>
      <c r="D42" s="14"/>
      <c r="E42" s="13"/>
      <c r="F42" s="13"/>
      <c r="G42" s="120"/>
      <c r="H42" s="15"/>
    </row>
    <row r="43" spans="1:8" ht="12" hidden="1" customHeight="1">
      <c r="A43" s="5">
        <v>36</v>
      </c>
      <c r="B43" s="11" t="str">
        <f t="shared" si="0"/>
        <v/>
      </c>
      <c r="C43" s="13"/>
      <c r="D43" s="14"/>
      <c r="E43" s="13"/>
      <c r="F43" s="13"/>
      <c r="G43" s="120"/>
      <c r="H43" s="15"/>
    </row>
    <row r="44" spans="1:8" ht="12" hidden="1" customHeight="1">
      <c r="A44" s="5">
        <v>37</v>
      </c>
      <c r="B44" s="11" t="str">
        <f t="shared" si="0"/>
        <v/>
      </c>
      <c r="C44" s="13"/>
      <c r="D44" s="14"/>
      <c r="E44" s="13"/>
      <c r="F44" s="13"/>
      <c r="G44" s="120"/>
      <c r="H44" s="15"/>
    </row>
    <row r="45" spans="1:8" ht="12" hidden="1" customHeight="1">
      <c r="A45" s="5">
        <v>38</v>
      </c>
      <c r="B45" s="11" t="str">
        <f t="shared" si="0"/>
        <v/>
      </c>
      <c r="C45" s="13"/>
      <c r="D45" s="14"/>
      <c r="E45" s="13"/>
      <c r="F45" s="13"/>
      <c r="G45" s="120"/>
      <c r="H45" s="15"/>
    </row>
    <row r="46" spans="1:8" ht="12" hidden="1" customHeight="1">
      <c r="A46" s="5">
        <v>39</v>
      </c>
      <c r="B46" s="11" t="str">
        <f t="shared" si="0"/>
        <v/>
      </c>
      <c r="C46" s="13"/>
      <c r="D46" s="14"/>
      <c r="E46" s="13"/>
      <c r="F46" s="13"/>
      <c r="G46" s="120"/>
      <c r="H46" s="15"/>
    </row>
    <row r="47" spans="1:8" ht="12" hidden="1" customHeight="1">
      <c r="A47" s="5">
        <v>40</v>
      </c>
      <c r="B47" s="11" t="str">
        <f t="shared" si="0"/>
        <v/>
      </c>
      <c r="C47" s="13"/>
      <c r="D47" s="14"/>
      <c r="E47" s="13"/>
      <c r="F47" s="13"/>
      <c r="G47" s="120"/>
      <c r="H47" s="15"/>
    </row>
  </sheetData>
  <mergeCells count="5">
    <mergeCell ref="G4:H4"/>
    <mergeCell ref="A1:G1"/>
    <mergeCell ref="G3:H3"/>
    <mergeCell ref="A4:C4"/>
    <mergeCell ref="R9:R10"/>
  </mergeCells>
  <phoneticPr fontId="1"/>
  <conditionalFormatting sqref="G8:G47">
    <cfRule type="expression" dxfId="16" priority="10">
      <formula>$E8="１号認定"</formula>
    </cfRule>
  </conditionalFormatting>
  <conditionalFormatting sqref="B28:H47 B22:E27 G8:H27 B8:B21 D8:E21">
    <cfRule type="expression" dxfId="15" priority="7">
      <formula>$E8="３号認定"</formula>
    </cfRule>
    <cfRule type="expression" dxfId="14" priority="8">
      <formula>$E8="２号認定"</formula>
    </cfRule>
  </conditionalFormatting>
  <conditionalFormatting sqref="B28:F47 B22:E27 B8:B21 D8:E21">
    <cfRule type="expression" dxfId="13" priority="9">
      <formula>$E8="１号認定"</formula>
    </cfRule>
  </conditionalFormatting>
  <conditionalFormatting sqref="F8:F27">
    <cfRule type="expression" dxfId="12" priority="6">
      <formula>$E8="１号認定"</formula>
    </cfRule>
  </conditionalFormatting>
  <conditionalFormatting sqref="F8:F27">
    <cfRule type="expression" dxfId="11" priority="4">
      <formula>$E8="３号認定"</formula>
    </cfRule>
    <cfRule type="expression" dxfId="10" priority="5">
      <formula>$E8="２号認定"</formula>
    </cfRule>
  </conditionalFormatting>
  <conditionalFormatting sqref="C8:C21">
    <cfRule type="expression" dxfId="9" priority="1">
      <formula>$E8="３号認定"</formula>
    </cfRule>
    <cfRule type="expression" dxfId="8" priority="2">
      <formula>$E8="２号認定"</formula>
    </cfRule>
  </conditionalFormatting>
  <conditionalFormatting sqref="C8:C21">
    <cfRule type="expression" dxfId="7"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8"/>
  <sheetViews>
    <sheetView view="pageBreakPreview" zoomScale="115" zoomScaleNormal="100" zoomScaleSheetLayoutView="115" workbookViewId="0">
      <selection activeCell="E11" sqref="E11"/>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9" style="4"/>
    <col min="18" max="18" width="10" customWidth="1"/>
    <col min="19" max="19" width="14" customWidth="1"/>
    <col min="20" max="21" width="6.5" customWidth="1"/>
    <col min="22" max="22" width="5.125" customWidth="1"/>
  </cols>
  <sheetData>
    <row r="1" spans="1:24" ht="24">
      <c r="A1" s="253" t="str">
        <f>①基本情報!A1</f>
        <v>教育・保育給付に係る加算等確認表（小規模保育事業A型)</v>
      </c>
      <c r="B1" s="253"/>
      <c r="C1" s="253"/>
      <c r="D1" s="253"/>
      <c r="E1" s="253"/>
      <c r="F1" s="253"/>
      <c r="G1" s="253"/>
      <c r="H1" s="253"/>
      <c r="I1" s="253"/>
      <c r="J1" s="253"/>
      <c r="K1" s="253"/>
      <c r="L1" s="253"/>
      <c r="M1" s="254"/>
      <c r="N1" s="254"/>
      <c r="O1" s="254"/>
      <c r="P1" s="254"/>
    </row>
    <row r="2" spans="1:24">
      <c r="M2" s="162"/>
      <c r="N2" s="162"/>
      <c r="O2" s="162"/>
      <c r="P2" s="162">
        <f>改修履歴!A1</f>
        <v>1</v>
      </c>
      <c r="Q2" s="4" t="s">
        <v>26</v>
      </c>
    </row>
    <row r="3" spans="1:24" ht="19.5" thickBot="1">
      <c r="A3" s="3" t="s">
        <v>23</v>
      </c>
      <c r="N3" t="s">
        <v>157</v>
      </c>
      <c r="Q3" s="6" t="s">
        <v>25</v>
      </c>
    </row>
    <row r="4" spans="1:24" ht="19.5" thickBot="1">
      <c r="A4" s="246" t="str">
        <f>①基本情報!A7</f>
        <v>記載例小規模保育所</v>
      </c>
      <c r="B4" s="247"/>
      <c r="C4" s="247"/>
      <c r="D4" s="248"/>
      <c r="I4" s="270"/>
      <c r="J4" s="270"/>
      <c r="K4" s="270"/>
      <c r="L4" s="270"/>
      <c r="M4" s="188"/>
      <c r="N4" s="251">
        <f>①基本情報!A4</f>
        <v>45748</v>
      </c>
      <c r="O4" s="252"/>
      <c r="P4" s="188"/>
    </row>
    <row r="5" spans="1:24" ht="6" customHeight="1">
      <c r="A5" s="164"/>
      <c r="B5" s="164"/>
      <c r="C5" s="164"/>
      <c r="D5" s="164"/>
      <c r="E5" s="165"/>
      <c r="F5" s="165"/>
      <c r="G5" s="165"/>
      <c r="H5" s="165"/>
      <c r="I5" s="164"/>
      <c r="J5" s="164"/>
      <c r="K5" s="164"/>
      <c r="L5" s="164"/>
      <c r="M5" s="164"/>
      <c r="N5" s="164"/>
      <c r="O5" s="164"/>
      <c r="P5" s="164"/>
    </row>
    <row r="6" spans="1:24" ht="33">
      <c r="A6" s="164"/>
      <c r="B6" s="166" t="s">
        <v>193</v>
      </c>
      <c r="C6" s="167">
        <f>$S$31+$S$32</f>
        <v>13</v>
      </c>
      <c r="D6" s="275" t="str">
        <f>"(内訳：常勤"&amp;$S$31&amp;"人、非常勤"&amp;$S$32&amp;"人）"</f>
        <v>(内訳：常勤6人、非常勤7人）</v>
      </c>
      <c r="E6" s="276"/>
      <c r="F6" s="277" t="s">
        <v>194</v>
      </c>
      <c r="G6" s="278"/>
      <c r="H6" s="278"/>
      <c r="I6" s="278"/>
      <c r="J6" s="255">
        <f>$V$32</f>
        <v>8.8000000000000007</v>
      </c>
      <c r="K6" s="252"/>
      <c r="L6" s="164"/>
      <c r="M6" s="164"/>
      <c r="N6" s="164"/>
      <c r="O6" s="164"/>
      <c r="P6" s="164"/>
    </row>
    <row r="7" spans="1:24" ht="33">
      <c r="A7" s="164"/>
      <c r="B7" s="168" t="s">
        <v>195</v>
      </c>
      <c r="C7" s="169">
        <f>$S$28+$S$29</f>
        <v>8</v>
      </c>
      <c r="D7" s="279" t="str">
        <f>"(内訳：常勤"&amp;$S$28&amp;"人、非常勤"&amp;$S$29&amp;"人）"</f>
        <v>(内訳：常勤5人、非常勤3人）</v>
      </c>
      <c r="E7" s="280"/>
      <c r="F7" s="281" t="s">
        <v>196</v>
      </c>
      <c r="G7" s="278"/>
      <c r="H7" s="278"/>
      <c r="I7" s="278"/>
      <c r="J7" s="255">
        <f>$V$29</f>
        <v>6.3</v>
      </c>
      <c r="K7" s="252"/>
      <c r="L7" s="164"/>
      <c r="M7" s="164"/>
      <c r="N7" s="164"/>
      <c r="O7" s="164"/>
      <c r="P7" s="164"/>
    </row>
    <row r="8" spans="1:24" ht="10.5" customHeight="1">
      <c r="Q8" s="38" t="s">
        <v>52</v>
      </c>
      <c r="R8" s="45">
        <f>①基本情報!A12</f>
        <v>160</v>
      </c>
    </row>
    <row r="9" spans="1:24" ht="13.5" customHeight="1">
      <c r="A9" s="273" t="s">
        <v>5</v>
      </c>
      <c r="B9" s="258" t="s">
        <v>56</v>
      </c>
      <c r="C9" s="271" t="s">
        <v>58</v>
      </c>
      <c r="D9" s="258" t="s">
        <v>59</v>
      </c>
      <c r="E9" s="271" t="s">
        <v>60</v>
      </c>
      <c r="F9" s="271" t="s">
        <v>4</v>
      </c>
      <c r="G9" s="271"/>
      <c r="H9" s="271"/>
      <c r="I9" s="272" t="s">
        <v>6</v>
      </c>
      <c r="J9" s="274" t="s">
        <v>8</v>
      </c>
      <c r="K9" s="274" t="s">
        <v>189</v>
      </c>
      <c r="L9" s="271" t="s">
        <v>7</v>
      </c>
      <c r="M9" s="268" t="s">
        <v>206</v>
      </c>
      <c r="N9" s="269"/>
      <c r="O9" s="269"/>
      <c r="P9" s="180"/>
    </row>
    <row r="10" spans="1:24" ht="19.5">
      <c r="A10" s="274"/>
      <c r="B10" s="259"/>
      <c r="C10" s="271"/>
      <c r="D10" s="259"/>
      <c r="E10" s="271"/>
      <c r="F10" s="46" t="s">
        <v>54</v>
      </c>
      <c r="G10" s="46" t="s">
        <v>55</v>
      </c>
      <c r="H10" s="175" t="s">
        <v>205</v>
      </c>
      <c r="I10" s="272"/>
      <c r="J10" s="274"/>
      <c r="K10" s="274"/>
      <c r="L10" s="271"/>
      <c r="M10" s="177" t="s">
        <v>207</v>
      </c>
      <c r="N10" s="46" t="s">
        <v>208</v>
      </c>
      <c r="O10" s="46" t="s">
        <v>209</v>
      </c>
      <c r="P10" s="180"/>
      <c r="T10" s="44" t="s">
        <v>146</v>
      </c>
      <c r="U10" s="44" t="s">
        <v>147</v>
      </c>
      <c r="V10" s="44" t="s">
        <v>148</v>
      </c>
      <c r="W10" s="44" t="s">
        <v>149</v>
      </c>
    </row>
    <row r="11" spans="1:24" ht="19.5" customHeight="1" thickBot="1">
      <c r="A11" s="260" t="s">
        <v>24</v>
      </c>
      <c r="B11" s="57" t="s">
        <v>61</v>
      </c>
      <c r="C11" s="52"/>
      <c r="D11" s="118" t="s">
        <v>115</v>
      </c>
      <c r="E11" s="47" t="s">
        <v>254</v>
      </c>
      <c r="F11" s="48" t="s">
        <v>51</v>
      </c>
      <c r="G11" s="139" t="s">
        <v>51</v>
      </c>
      <c r="H11" s="47"/>
      <c r="I11" s="49">
        <v>160</v>
      </c>
      <c r="J11" s="50" t="str">
        <f>IF(I11="","",IF(I11&lt;$R$8,"非常勤","常勤"))</f>
        <v>常勤</v>
      </c>
      <c r="K11" s="49"/>
      <c r="L11" s="178"/>
      <c r="M11" s="185" t="s">
        <v>250</v>
      </c>
      <c r="N11" s="69"/>
      <c r="O11" s="179"/>
      <c r="P11" s="181" t="str">
        <f t="shared" ref="P11:P18" si="0">IF(M11="あり",IF((I11+O11)&lt;=$R$8,"OK","NG"),"")</f>
        <v/>
      </c>
      <c r="S11" s="128" t="s">
        <v>115</v>
      </c>
      <c r="T11" s="44">
        <f>IF(E11="",0,1)</f>
        <v>1</v>
      </c>
      <c r="U11" s="44"/>
      <c r="V11" s="44"/>
      <c r="W11" s="44">
        <f>IF(SUM(T11:V11)&gt;0,1,0)</f>
        <v>1</v>
      </c>
    </row>
    <row r="12" spans="1:24" ht="42.75" customHeight="1" thickBot="1">
      <c r="A12" s="263"/>
      <c r="B12" s="118" t="s">
        <v>118</v>
      </c>
      <c r="C12" s="51" t="s">
        <v>57</v>
      </c>
      <c r="D12" s="53" t="s">
        <v>242</v>
      </c>
      <c r="E12" s="47" t="s">
        <v>267</v>
      </c>
      <c r="F12" s="87"/>
      <c r="G12" s="144" t="s">
        <v>51</v>
      </c>
      <c r="H12" s="138"/>
      <c r="I12" s="49">
        <v>94</v>
      </c>
      <c r="J12" s="50" t="str">
        <f>IF(I12="","",IF(I12&lt;$R$8,"非常勤","常勤"))</f>
        <v>非常勤</v>
      </c>
      <c r="K12" s="49"/>
      <c r="L12" s="178"/>
      <c r="M12" s="185" t="s">
        <v>250</v>
      </c>
      <c r="N12" s="69"/>
      <c r="O12" s="179"/>
      <c r="P12" s="187" t="str">
        <f t="shared" si="0"/>
        <v/>
      </c>
      <c r="S12" s="129" t="s">
        <v>118</v>
      </c>
      <c r="T12" s="44">
        <f>IF(E12="",0,1)</f>
        <v>1</v>
      </c>
      <c r="U12" s="44"/>
      <c r="V12" s="44"/>
      <c r="W12" s="44">
        <f>IF(SUM(T12:V12)&gt;0,1,0)</f>
        <v>1</v>
      </c>
    </row>
    <row r="13" spans="1:24" ht="26.25" thickBot="1">
      <c r="A13" s="263"/>
      <c r="B13" s="118" t="s">
        <v>158</v>
      </c>
      <c r="C13" s="51" t="s">
        <v>57</v>
      </c>
      <c r="D13" s="53" t="s">
        <v>242</v>
      </c>
      <c r="E13" s="47" t="s">
        <v>270</v>
      </c>
      <c r="F13" s="87"/>
      <c r="G13" s="144" t="s">
        <v>51</v>
      </c>
      <c r="H13" s="138"/>
      <c r="I13" s="49">
        <v>40</v>
      </c>
      <c r="J13" s="50" t="str">
        <f>IF(I13="","",IF(I13&lt;$R$8,"非常勤","常勤"))</f>
        <v>非常勤</v>
      </c>
      <c r="K13" s="49"/>
      <c r="L13" s="178"/>
      <c r="M13" s="185" t="s">
        <v>250</v>
      </c>
      <c r="N13" s="69"/>
      <c r="O13" s="179"/>
      <c r="P13" s="181" t="str">
        <f t="shared" si="0"/>
        <v/>
      </c>
      <c r="S13" s="129" t="s">
        <v>158</v>
      </c>
      <c r="T13" s="44">
        <f>IF(E13="",0,1)</f>
        <v>1</v>
      </c>
      <c r="U13" s="44"/>
      <c r="V13" s="44"/>
      <c r="W13" s="44">
        <f>IF(SUM(T13:V13)&gt;0,1,0)</f>
        <v>1</v>
      </c>
      <c r="X13" s="44">
        <f>IF(W12+W13=2,1,0)</f>
        <v>1</v>
      </c>
    </row>
    <row r="14" spans="1:24" ht="24.95" customHeight="1">
      <c r="A14" s="263"/>
      <c r="B14" s="118" t="s">
        <v>117</v>
      </c>
      <c r="C14" s="47" t="s">
        <v>243</v>
      </c>
      <c r="D14" s="53"/>
      <c r="E14" s="53"/>
      <c r="F14" s="48"/>
      <c r="G14" s="140"/>
      <c r="H14" s="47"/>
      <c r="I14" s="47"/>
      <c r="J14" s="51" t="str">
        <f t="shared" ref="J14" si="1">IF(I14="","",IF(I14&lt;$R$8,"非常勤","常勤"))</f>
        <v/>
      </c>
      <c r="K14" s="47"/>
      <c r="L14" s="178"/>
      <c r="M14" s="185"/>
      <c r="N14" s="69"/>
      <c r="O14" s="179"/>
      <c r="P14" s="181" t="str">
        <f t="shared" si="0"/>
        <v/>
      </c>
      <c r="S14" s="130" t="s">
        <v>117</v>
      </c>
      <c r="T14" s="44">
        <f>IF(E14="",0,1)</f>
        <v>0</v>
      </c>
      <c r="U14" s="44">
        <f>IF(C14="委託",1,0)</f>
        <v>0</v>
      </c>
      <c r="V14" s="44">
        <f>IF(C14="外部搬入",1,0)</f>
        <v>1</v>
      </c>
      <c r="W14" s="44">
        <f>IF(SUM(T14:V14)&gt;0,1,0)</f>
        <v>1</v>
      </c>
    </row>
    <row r="15" spans="1:24" ht="24.95" customHeight="1">
      <c r="A15" s="263"/>
      <c r="B15" s="118" t="s">
        <v>116</v>
      </c>
      <c r="C15" s="225" t="s">
        <v>244</v>
      </c>
      <c r="D15" s="53"/>
      <c r="E15" s="47"/>
      <c r="F15" s="48"/>
      <c r="G15" s="48"/>
      <c r="H15" s="47"/>
      <c r="I15" s="47"/>
      <c r="J15" s="51" t="str">
        <f t="shared" ref="J15" si="2">IF(I15="","",IF(I15&lt;$R$8,"非常勤","常勤"))</f>
        <v/>
      </c>
      <c r="K15" s="47"/>
      <c r="L15" s="178"/>
      <c r="M15" s="185"/>
      <c r="N15" s="69"/>
      <c r="O15" s="179"/>
      <c r="P15" s="181" t="str">
        <f t="shared" si="0"/>
        <v/>
      </c>
      <c r="S15" s="130" t="s">
        <v>116</v>
      </c>
      <c r="T15" s="44">
        <f>IF(E15="",0,1)</f>
        <v>0</v>
      </c>
      <c r="U15" s="44">
        <f>IF(C15="管理者等兼務",1,0)</f>
        <v>1</v>
      </c>
      <c r="V15" s="44"/>
      <c r="W15" s="44">
        <f>IF(SUM(T15:V15)&gt;0,1,0)</f>
        <v>1</v>
      </c>
    </row>
    <row r="16" spans="1:24" ht="24.95" customHeight="1">
      <c r="A16" s="263"/>
      <c r="B16" s="52"/>
      <c r="C16" s="47" t="s">
        <v>53</v>
      </c>
      <c r="D16" s="53"/>
      <c r="E16" s="47" t="s">
        <v>256</v>
      </c>
      <c r="F16" s="48"/>
      <c r="G16" s="48"/>
      <c r="H16" s="47"/>
      <c r="I16" s="47">
        <v>80</v>
      </c>
      <c r="J16" s="51" t="str">
        <f t="shared" ref="J16:J18" si="3">IF(I16="","",IF(I16&lt;$R$8,"非常勤","常勤"))</f>
        <v>非常勤</v>
      </c>
      <c r="K16" s="47"/>
      <c r="L16" s="178"/>
      <c r="M16" s="185" t="s">
        <v>250</v>
      </c>
      <c r="N16" s="69"/>
      <c r="O16" s="179"/>
      <c r="P16" s="181" t="str">
        <f t="shared" si="0"/>
        <v/>
      </c>
    </row>
    <row r="17" spans="1:23" ht="24.95" customHeight="1">
      <c r="A17" s="263"/>
      <c r="B17" s="52"/>
      <c r="C17" s="47"/>
      <c r="D17" s="53"/>
      <c r="E17" s="47"/>
      <c r="F17" s="48"/>
      <c r="G17" s="48"/>
      <c r="H17" s="47"/>
      <c r="I17" s="47"/>
      <c r="J17" s="51" t="str">
        <f t="shared" si="3"/>
        <v/>
      </c>
      <c r="K17" s="47"/>
      <c r="L17" s="178"/>
      <c r="M17" s="185"/>
      <c r="N17" s="69"/>
      <c r="O17" s="179"/>
      <c r="P17" s="181" t="str">
        <f t="shared" si="0"/>
        <v/>
      </c>
    </row>
    <row r="18" spans="1:23" ht="24.95" customHeight="1">
      <c r="A18" s="264"/>
      <c r="B18" s="52"/>
      <c r="C18" s="47"/>
      <c r="D18" s="47"/>
      <c r="E18" s="47"/>
      <c r="F18" s="48"/>
      <c r="G18" s="48"/>
      <c r="H18" s="47"/>
      <c r="I18" s="47"/>
      <c r="J18" s="51" t="str">
        <f t="shared" si="3"/>
        <v/>
      </c>
      <c r="K18" s="47"/>
      <c r="L18" s="178"/>
      <c r="M18" s="185"/>
      <c r="N18" s="69"/>
      <c r="O18" s="179"/>
      <c r="P18" s="181" t="str">
        <f t="shared" si="0"/>
        <v/>
      </c>
    </row>
    <row r="19" spans="1:23" s="91" customFormat="1" ht="6" customHeight="1">
      <c r="A19" s="183"/>
      <c r="B19" s="88"/>
      <c r="C19" s="88"/>
      <c r="D19" s="88"/>
      <c r="E19" s="88"/>
      <c r="F19" s="89"/>
      <c r="G19" s="88"/>
      <c r="H19" s="88"/>
      <c r="I19" s="88"/>
      <c r="J19" s="88"/>
      <c r="K19" s="88"/>
      <c r="L19" s="90"/>
      <c r="M19" s="90"/>
      <c r="N19" s="90"/>
      <c r="O19" s="184"/>
      <c r="P19" s="181"/>
      <c r="Q19" s="76"/>
    </row>
    <row r="20" spans="1:23" ht="24.95" customHeight="1">
      <c r="A20" s="260" t="s">
        <v>70</v>
      </c>
      <c r="B20" s="265" t="s">
        <v>188</v>
      </c>
      <c r="C20" s="47"/>
      <c r="D20" s="47"/>
      <c r="E20" s="47"/>
      <c r="F20" s="48"/>
      <c r="G20" s="48"/>
      <c r="H20" s="47"/>
      <c r="I20" s="47"/>
      <c r="J20" s="51" t="str">
        <f t="shared" ref="J20:J22" si="4">IF(I20="","",IF(I20&lt;$R$8,"非常勤","常勤"))</f>
        <v/>
      </c>
      <c r="K20" s="47"/>
      <c r="L20" s="178"/>
      <c r="M20" s="185"/>
      <c r="N20" s="69"/>
      <c r="O20" s="179"/>
      <c r="P20" s="181" t="str">
        <f>IF(M20="あり",IF((I20+O20)&lt;=$R$8,"OK","NG"),"")</f>
        <v/>
      </c>
    </row>
    <row r="21" spans="1:23" ht="24.95" customHeight="1">
      <c r="A21" s="261"/>
      <c r="B21" s="266"/>
      <c r="C21" s="47"/>
      <c r="D21" s="47"/>
      <c r="E21" s="47"/>
      <c r="F21" s="48"/>
      <c r="G21" s="48"/>
      <c r="H21" s="47"/>
      <c r="I21" s="47"/>
      <c r="J21" s="51" t="str">
        <f t="shared" si="4"/>
        <v/>
      </c>
      <c r="K21" s="47"/>
      <c r="L21" s="178"/>
      <c r="M21" s="185"/>
      <c r="N21" s="69"/>
      <c r="O21" s="179"/>
      <c r="P21" s="181" t="str">
        <f>IF(M21="あり",IF((I21+O21)&lt;=$R$8,"OK","NG"),"")</f>
        <v/>
      </c>
    </row>
    <row r="22" spans="1:23" ht="24.95" customHeight="1">
      <c r="A22" s="262"/>
      <c r="B22" s="267"/>
      <c r="C22" s="47"/>
      <c r="D22" s="47"/>
      <c r="E22" s="47"/>
      <c r="F22" s="48"/>
      <c r="G22" s="48"/>
      <c r="H22" s="47"/>
      <c r="I22" s="47"/>
      <c r="J22" s="51" t="str">
        <f t="shared" si="4"/>
        <v/>
      </c>
      <c r="K22" s="47"/>
      <c r="L22" s="178"/>
      <c r="M22" s="185"/>
      <c r="N22" s="69"/>
      <c r="O22" s="179"/>
      <c r="P22" s="181" t="str">
        <f>IF(M22="あり",IF((I22+O22)&lt;=$R$8,"OK","NG"),"")</f>
        <v/>
      </c>
    </row>
    <row r="23" spans="1:23" s="91" customFormat="1" ht="6" customHeight="1">
      <c r="A23" s="183"/>
      <c r="B23" s="88"/>
      <c r="C23" s="88"/>
      <c r="D23" s="88"/>
      <c r="E23" s="88"/>
      <c r="F23" s="89"/>
      <c r="G23" s="88"/>
      <c r="H23" s="88"/>
      <c r="I23" s="88"/>
      <c r="J23" s="88"/>
      <c r="K23" s="88"/>
      <c r="L23" s="90"/>
      <c r="M23" s="90"/>
      <c r="N23" s="90"/>
      <c r="O23" s="184"/>
      <c r="P23" s="181"/>
      <c r="Q23" s="76"/>
    </row>
    <row r="24" spans="1:23" ht="24.95" customHeight="1">
      <c r="A24" s="92" t="s">
        <v>71</v>
      </c>
      <c r="B24" s="52"/>
      <c r="C24" s="54" t="s">
        <v>69</v>
      </c>
      <c r="D24" s="53" t="s">
        <v>245</v>
      </c>
      <c r="E24" s="47" t="s">
        <v>255</v>
      </c>
      <c r="F24" s="48"/>
      <c r="G24" s="48"/>
      <c r="H24" s="47" t="s">
        <v>246</v>
      </c>
      <c r="I24" s="47">
        <v>120</v>
      </c>
      <c r="J24" s="51" t="str">
        <f t="shared" ref="J24" si="5">IF(I24="","",IF(I24&lt;$R$8,"非常勤","常勤"))</f>
        <v>非常勤</v>
      </c>
      <c r="K24" s="47"/>
      <c r="L24" s="178"/>
      <c r="M24" s="185"/>
      <c r="N24" s="69"/>
      <c r="O24" s="179"/>
      <c r="P24" s="181" t="str">
        <f>IF(M24="あり",IF((I24+O24)&lt;=$R$8,"OK","NG"),"")</f>
        <v/>
      </c>
    </row>
    <row r="25" spans="1:23" s="91" customFormat="1" ht="6" customHeight="1">
      <c r="A25" s="183"/>
      <c r="B25" s="88"/>
      <c r="C25" s="88"/>
      <c r="D25" s="88"/>
      <c r="E25" s="88"/>
      <c r="F25" s="89"/>
      <c r="G25" s="88"/>
      <c r="H25" s="88"/>
      <c r="I25" s="88"/>
      <c r="J25" s="88"/>
      <c r="K25" s="88"/>
      <c r="L25" s="90"/>
      <c r="M25" s="90"/>
      <c r="N25" s="90"/>
      <c r="O25" s="184"/>
      <c r="P25" s="181"/>
      <c r="Q25" s="76"/>
    </row>
    <row r="26" spans="1:23" s="91" customFormat="1" ht="13.5" customHeight="1">
      <c r="A26" s="256" t="s">
        <v>80</v>
      </c>
      <c r="B26" s="257"/>
      <c r="C26" s="257"/>
      <c r="D26" s="257"/>
      <c r="E26" s="257"/>
      <c r="F26" s="257"/>
      <c r="G26" s="257"/>
      <c r="H26" s="257"/>
      <c r="I26" s="257"/>
      <c r="J26" s="257"/>
      <c r="K26" s="257"/>
      <c r="L26" s="257"/>
      <c r="M26" s="186"/>
      <c r="N26" s="174"/>
      <c r="O26" s="174"/>
      <c r="P26" s="182"/>
      <c r="Q26" s="76"/>
    </row>
    <row r="27" spans="1:23" ht="24.95" customHeight="1">
      <c r="A27" s="176">
        <v>1</v>
      </c>
      <c r="B27" s="142" t="str">
        <f>IF(I27&gt;0,IF(COUNTIF(G27:H27,"〇")&gt;=1,"","算定対象外(保資格)"),"")</f>
        <v/>
      </c>
      <c r="C27" s="47" t="s">
        <v>57</v>
      </c>
      <c r="D27" s="47" t="s">
        <v>258</v>
      </c>
      <c r="E27" s="47" t="s">
        <v>260</v>
      </c>
      <c r="F27" s="48" t="s">
        <v>51</v>
      </c>
      <c r="G27" s="48" t="s">
        <v>51</v>
      </c>
      <c r="H27" s="47"/>
      <c r="I27" s="47">
        <v>160</v>
      </c>
      <c r="J27" s="51" t="str">
        <f t="shared" ref="J27:J38" si="6">IF(I27="","",IF(I27&lt;$R$8,"非常勤","常勤"))</f>
        <v>常勤</v>
      </c>
      <c r="K27" s="47"/>
      <c r="L27" s="178"/>
      <c r="M27" s="185" t="s">
        <v>250</v>
      </c>
      <c r="N27" s="69"/>
      <c r="O27" s="179"/>
      <c r="P27" s="181" t="str">
        <f t="shared" ref="P27:P38" si="7">IF(M27="あり",IF((I27+O27)&lt;=$R$8,"OK","NG"),"")</f>
        <v/>
      </c>
      <c r="Q27" s="141">
        <f t="shared" ref="Q27:Q35" si="8">COUNTIF(G27:H27,"〇")*I27</f>
        <v>160</v>
      </c>
      <c r="R27" s="44" t="s">
        <v>197</v>
      </c>
      <c r="S27" s="40" t="s">
        <v>40</v>
      </c>
      <c r="T27" s="41" t="s">
        <v>41</v>
      </c>
      <c r="U27" s="41" t="s">
        <v>42</v>
      </c>
      <c r="V27" s="44"/>
      <c r="W27" s="173"/>
    </row>
    <row r="28" spans="1:23" ht="24.95" customHeight="1" thickBot="1">
      <c r="A28" s="176">
        <v>2</v>
      </c>
      <c r="B28" s="142" t="str">
        <f t="shared" ref="B28:B38" si="9">IF(I28&gt;0,IF(COUNTIF(G28:H28,"〇")&gt;=1,"","算定対象外(保資格)"),"")</f>
        <v/>
      </c>
      <c r="C28" s="47" t="s">
        <v>57</v>
      </c>
      <c r="D28" s="47" t="s">
        <v>259</v>
      </c>
      <c r="E28" s="47" t="s">
        <v>261</v>
      </c>
      <c r="F28" s="48" t="s">
        <v>51</v>
      </c>
      <c r="G28" s="48" t="s">
        <v>51</v>
      </c>
      <c r="H28" s="47"/>
      <c r="I28" s="47">
        <v>160</v>
      </c>
      <c r="J28" s="51" t="str">
        <f t="shared" si="6"/>
        <v>常勤</v>
      </c>
      <c r="K28" s="47"/>
      <c r="L28" s="178"/>
      <c r="M28" s="185" t="s">
        <v>250</v>
      </c>
      <c r="N28" s="69"/>
      <c r="O28" s="179"/>
      <c r="P28" s="181" t="str">
        <f t="shared" si="7"/>
        <v/>
      </c>
      <c r="Q28" s="141">
        <f t="shared" si="8"/>
        <v>160</v>
      </c>
      <c r="R28" s="38" t="s">
        <v>43</v>
      </c>
      <c r="S28" s="39">
        <f>COUNTIFS($J$27:$J38,"常勤",$G$27:$G$38,"〇")+COUNTIFS($J$27:$J38,"常勤",$H$27:$H$38,"〇")+COUNTIF(J24,"常勤")</f>
        <v>5</v>
      </c>
      <c r="T28" s="39">
        <f>SUMIFS($Q$27:$Q38,$J$27:$J38,"常勤")+SUMIF(J24,"常勤",I24)</f>
        <v>780</v>
      </c>
      <c r="U28" s="226">
        <f>ROUNDDOWN(T28/R8,1)</f>
        <v>4.8</v>
      </c>
      <c r="V28" s="219"/>
      <c r="W28" s="173"/>
    </row>
    <row r="29" spans="1:23" ht="24.95" customHeight="1" thickBot="1">
      <c r="A29" s="176">
        <v>3</v>
      </c>
      <c r="B29" s="142" t="str">
        <f t="shared" si="9"/>
        <v/>
      </c>
      <c r="C29" s="47" t="s">
        <v>57</v>
      </c>
      <c r="D29" s="225" t="s">
        <v>247</v>
      </c>
      <c r="E29" s="47" t="s">
        <v>262</v>
      </c>
      <c r="F29" s="48" t="s">
        <v>51</v>
      </c>
      <c r="G29" s="48" t="s">
        <v>51</v>
      </c>
      <c r="H29" s="47"/>
      <c r="I29" s="47">
        <v>160</v>
      </c>
      <c r="J29" s="51" t="str">
        <f t="shared" ref="J29:J37" si="10">IF(I29="","",IF(I29&lt;$R$8,"非常勤","常勤"))</f>
        <v>常勤</v>
      </c>
      <c r="K29" s="47"/>
      <c r="L29" s="178"/>
      <c r="M29" s="185" t="s">
        <v>250</v>
      </c>
      <c r="N29" s="69"/>
      <c r="O29" s="179"/>
      <c r="P29" s="181" t="str">
        <f t="shared" si="7"/>
        <v/>
      </c>
      <c r="Q29" s="141">
        <f t="shared" si="8"/>
        <v>160</v>
      </c>
      <c r="R29" s="39" t="s">
        <v>44</v>
      </c>
      <c r="S29" s="39">
        <f>COUNTIFS($J$27:$J38,"非常勤",$G$27:$G$38,"〇")+COUNTIFS($J$27:$J38,"非常勤",$H$27:$H$38,"〇")+COUNTIF(J24,"非常勤")</f>
        <v>3</v>
      </c>
      <c r="T29" s="39">
        <f>SUMIFS($Q$27:$Q38,$J$27:$J38,"非常勤")+SUMIF(J24,"非常勤",I24)</f>
        <v>246</v>
      </c>
      <c r="U29" s="218">
        <f>ROUNDDOWN(T29/R8,1)</f>
        <v>1.5</v>
      </c>
      <c r="V29" s="221">
        <f>U28+U29</f>
        <v>6.3</v>
      </c>
      <c r="W29" s="173"/>
    </row>
    <row r="30" spans="1:23" ht="24.95" customHeight="1">
      <c r="A30" s="176">
        <v>4</v>
      </c>
      <c r="B30" s="142" t="str">
        <f t="shared" si="9"/>
        <v/>
      </c>
      <c r="C30" s="47" t="s">
        <v>57</v>
      </c>
      <c r="D30" s="53" t="s">
        <v>248</v>
      </c>
      <c r="E30" s="47" t="s">
        <v>263</v>
      </c>
      <c r="F30" s="48"/>
      <c r="G30" s="48" t="s">
        <v>51</v>
      </c>
      <c r="H30" s="47"/>
      <c r="I30" s="47">
        <v>160</v>
      </c>
      <c r="J30" s="51" t="str">
        <f t="shared" si="10"/>
        <v>常勤</v>
      </c>
      <c r="K30" s="47"/>
      <c r="L30" s="178"/>
      <c r="M30" s="185" t="s">
        <v>250</v>
      </c>
      <c r="N30" s="69"/>
      <c r="O30" s="179"/>
      <c r="P30" s="181" t="str">
        <f t="shared" si="7"/>
        <v/>
      </c>
      <c r="Q30" s="141">
        <f t="shared" si="8"/>
        <v>160</v>
      </c>
      <c r="R30" s="217" t="s">
        <v>198</v>
      </c>
      <c r="S30" s="40" t="s">
        <v>40</v>
      </c>
      <c r="T30" s="41" t="s">
        <v>41</v>
      </c>
      <c r="U30" s="41" t="s">
        <v>42</v>
      </c>
      <c r="V30" s="220"/>
      <c r="W30" s="173"/>
    </row>
    <row r="31" spans="1:23" ht="24.95" customHeight="1" thickBot="1">
      <c r="A31" s="176">
        <v>5</v>
      </c>
      <c r="B31" s="142" t="str">
        <f t="shared" si="9"/>
        <v/>
      </c>
      <c r="C31" s="47" t="s">
        <v>57</v>
      </c>
      <c r="D31" s="47"/>
      <c r="E31" s="47" t="s">
        <v>264</v>
      </c>
      <c r="F31" s="48"/>
      <c r="G31" s="48" t="s">
        <v>51</v>
      </c>
      <c r="H31" s="47"/>
      <c r="I31" s="47">
        <v>140</v>
      </c>
      <c r="J31" s="51" t="s">
        <v>266</v>
      </c>
      <c r="K31" s="47"/>
      <c r="L31" s="178"/>
      <c r="M31" s="185" t="s">
        <v>250</v>
      </c>
      <c r="N31" s="69"/>
      <c r="O31" s="179"/>
      <c r="P31" s="181" t="str">
        <f t="shared" si="7"/>
        <v/>
      </c>
      <c r="Q31" s="141">
        <f t="shared" si="8"/>
        <v>140</v>
      </c>
      <c r="R31" s="38" t="s">
        <v>43</v>
      </c>
      <c r="S31" s="39">
        <f>COUNTIF($J$11:$J$18,"常勤")+COUNTIF($J$24,"常勤")+COUNTIF($J$27:$J$38,"常勤")</f>
        <v>6</v>
      </c>
      <c r="T31" s="39">
        <f>SUMIFS(I11:I18,J11:J18,"常勤")+SUMIFS(I27:I38,J27:J38,"常勤")+SUMIFS(I24,J24,"常勤")</f>
        <v>940</v>
      </c>
      <c r="U31" s="226">
        <f>ROUNDDOWN(T31/R8,1)</f>
        <v>5.8</v>
      </c>
      <c r="V31" s="219"/>
      <c r="W31" s="173"/>
    </row>
    <row r="32" spans="1:23" ht="24.95" customHeight="1" thickBot="1">
      <c r="A32" s="176">
        <v>6</v>
      </c>
      <c r="B32" s="142" t="str">
        <f t="shared" si="9"/>
        <v/>
      </c>
      <c r="C32" s="47" t="s">
        <v>57</v>
      </c>
      <c r="D32" s="53"/>
      <c r="E32" s="47" t="s">
        <v>265</v>
      </c>
      <c r="F32" s="48" t="s">
        <v>51</v>
      </c>
      <c r="G32" s="48" t="s">
        <v>51</v>
      </c>
      <c r="H32" s="47"/>
      <c r="I32" s="47">
        <v>94</v>
      </c>
      <c r="J32" s="51" t="str">
        <f t="shared" si="10"/>
        <v>非常勤</v>
      </c>
      <c r="K32" s="47"/>
      <c r="L32" s="178"/>
      <c r="M32" s="185" t="s">
        <v>250</v>
      </c>
      <c r="N32" s="69"/>
      <c r="O32" s="179"/>
      <c r="P32" s="181" t="str">
        <f t="shared" si="7"/>
        <v/>
      </c>
      <c r="Q32" s="141">
        <f t="shared" si="8"/>
        <v>94</v>
      </c>
      <c r="R32" s="39" t="s">
        <v>44</v>
      </c>
      <c r="S32" s="39">
        <f>COUNTIF($J$11:$J$18,"非常勤")+COUNTIF($J$24,"非常勤")+COUNTIF($J$27:$J$38,"非常勤")</f>
        <v>7</v>
      </c>
      <c r="T32" s="39">
        <f>SUMIFS(I11:I18,J11:J18,"非常勤")+SUMIFS(I27:I38,J27:J38,"非常勤")+SUMIFS(I24,J24,"非常勤")</f>
        <v>492</v>
      </c>
      <c r="U32" s="218">
        <f>ROUNDDOWN(T32/R8,1)</f>
        <v>3</v>
      </c>
      <c r="V32" s="221">
        <f>U31+U32</f>
        <v>8.8000000000000007</v>
      </c>
      <c r="W32" s="173"/>
    </row>
    <row r="33" spans="1:23" ht="24.95" customHeight="1">
      <c r="A33" s="176">
        <v>7</v>
      </c>
      <c r="B33" s="142" t="str">
        <f t="shared" si="9"/>
        <v/>
      </c>
      <c r="C33" s="47"/>
      <c r="D33" s="53"/>
      <c r="E33" s="47" t="s">
        <v>268</v>
      </c>
      <c r="F33" s="48"/>
      <c r="G33" s="48"/>
      <c r="H33" s="47" t="s">
        <v>51</v>
      </c>
      <c r="I33" s="47">
        <v>32</v>
      </c>
      <c r="J33" s="51" t="str">
        <f t="shared" si="10"/>
        <v>非常勤</v>
      </c>
      <c r="K33" s="47"/>
      <c r="L33" s="178" t="s">
        <v>249</v>
      </c>
      <c r="M33" s="185" t="s">
        <v>251</v>
      </c>
      <c r="N33" s="69" t="s">
        <v>252</v>
      </c>
      <c r="O33" s="179">
        <v>80</v>
      </c>
      <c r="P33" s="181" t="str">
        <f t="shared" si="7"/>
        <v>OK</v>
      </c>
      <c r="Q33" s="141">
        <f t="shared" si="8"/>
        <v>32</v>
      </c>
      <c r="W33" s="173"/>
    </row>
    <row r="34" spans="1:23" ht="24.95" customHeight="1">
      <c r="A34" s="176">
        <v>8</v>
      </c>
      <c r="B34" s="142" t="str">
        <f t="shared" si="9"/>
        <v>算定対象外(保資格)</v>
      </c>
      <c r="C34" s="47"/>
      <c r="D34" s="53"/>
      <c r="E34" s="47" t="s">
        <v>269</v>
      </c>
      <c r="F34" s="48"/>
      <c r="G34" s="48"/>
      <c r="H34" s="47"/>
      <c r="I34" s="47">
        <v>32</v>
      </c>
      <c r="J34" s="51" t="str">
        <f t="shared" si="10"/>
        <v>非常勤</v>
      </c>
      <c r="K34" s="47"/>
      <c r="L34" s="178"/>
      <c r="M34" s="185" t="s">
        <v>250</v>
      </c>
      <c r="N34" s="69"/>
      <c r="O34" s="179"/>
      <c r="P34" s="181" t="str">
        <f t="shared" si="7"/>
        <v/>
      </c>
      <c r="Q34" s="141">
        <f t="shared" si="8"/>
        <v>0</v>
      </c>
      <c r="W34" s="173"/>
    </row>
    <row r="35" spans="1:23" ht="24.95" customHeight="1">
      <c r="A35" s="176">
        <v>9</v>
      </c>
      <c r="B35" s="142" t="str">
        <f t="shared" si="9"/>
        <v/>
      </c>
      <c r="C35" s="47"/>
      <c r="D35" s="53"/>
      <c r="E35" s="47"/>
      <c r="F35" s="48"/>
      <c r="G35" s="48"/>
      <c r="H35" s="47"/>
      <c r="I35" s="47"/>
      <c r="J35" s="51" t="str">
        <f t="shared" si="10"/>
        <v/>
      </c>
      <c r="K35" s="47"/>
      <c r="L35" s="178"/>
      <c r="M35" s="185"/>
      <c r="N35" s="69"/>
      <c r="O35" s="179"/>
      <c r="P35" s="181" t="str">
        <f t="shared" si="7"/>
        <v/>
      </c>
      <c r="Q35" s="141">
        <f t="shared" si="8"/>
        <v>0</v>
      </c>
      <c r="W35" s="173"/>
    </row>
    <row r="36" spans="1:23" ht="24.95" customHeight="1">
      <c r="A36" s="176">
        <v>10</v>
      </c>
      <c r="B36" s="142" t="str">
        <f t="shared" si="9"/>
        <v/>
      </c>
      <c r="C36" s="47"/>
      <c r="D36" s="47"/>
      <c r="E36" s="47"/>
      <c r="F36" s="48"/>
      <c r="G36" s="48"/>
      <c r="H36" s="47"/>
      <c r="I36" s="47"/>
      <c r="J36" s="51" t="str">
        <f t="shared" si="10"/>
        <v/>
      </c>
      <c r="K36" s="47"/>
      <c r="L36" s="178"/>
      <c r="M36" s="185"/>
      <c r="N36" s="69"/>
      <c r="O36" s="179"/>
      <c r="P36" s="181" t="str">
        <f t="shared" si="7"/>
        <v/>
      </c>
      <c r="Q36" s="141">
        <f t="shared" ref="Q36:Q38" si="11">COUNTIF(G36:H36,"〇")*I36</f>
        <v>0</v>
      </c>
      <c r="W36" s="173"/>
    </row>
    <row r="37" spans="1:23" ht="24.95" customHeight="1">
      <c r="A37" s="176">
        <v>11</v>
      </c>
      <c r="B37" s="142" t="str">
        <f t="shared" si="9"/>
        <v/>
      </c>
      <c r="C37" s="47"/>
      <c r="D37" s="47"/>
      <c r="E37" s="47"/>
      <c r="F37" s="48"/>
      <c r="G37" s="48"/>
      <c r="H37" s="47"/>
      <c r="I37" s="47"/>
      <c r="J37" s="51" t="str">
        <f t="shared" si="10"/>
        <v/>
      </c>
      <c r="K37" s="47"/>
      <c r="L37" s="178"/>
      <c r="M37" s="185"/>
      <c r="N37" s="69"/>
      <c r="O37" s="179"/>
      <c r="P37" s="181" t="str">
        <f t="shared" si="7"/>
        <v/>
      </c>
      <c r="Q37" s="141">
        <f t="shared" si="11"/>
        <v>0</v>
      </c>
      <c r="W37" s="173"/>
    </row>
    <row r="38" spans="1:23" ht="24.95" customHeight="1">
      <c r="A38" s="176">
        <v>12</v>
      </c>
      <c r="B38" s="142" t="str">
        <f t="shared" si="9"/>
        <v/>
      </c>
      <c r="C38" s="47"/>
      <c r="D38" s="47"/>
      <c r="E38" s="47"/>
      <c r="F38" s="48"/>
      <c r="G38" s="48"/>
      <c r="H38" s="47"/>
      <c r="I38" s="47"/>
      <c r="J38" s="51" t="str">
        <f t="shared" si="6"/>
        <v/>
      </c>
      <c r="K38" s="47"/>
      <c r="L38" s="178"/>
      <c r="M38" s="185"/>
      <c r="N38" s="69"/>
      <c r="O38" s="179"/>
      <c r="P38" s="181" t="str">
        <f t="shared" si="7"/>
        <v/>
      </c>
      <c r="Q38" s="141">
        <f t="shared" si="11"/>
        <v>0</v>
      </c>
      <c r="W38" s="173"/>
    </row>
  </sheetData>
  <mergeCells count="25">
    <mergeCell ref="C9:C10"/>
    <mergeCell ref="A9:A10"/>
    <mergeCell ref="J9:J10"/>
    <mergeCell ref="K9:K10"/>
    <mergeCell ref="D6:E6"/>
    <mergeCell ref="F6:I6"/>
    <mergeCell ref="D7:E7"/>
    <mergeCell ref="F7:I7"/>
    <mergeCell ref="J6:K6"/>
    <mergeCell ref="N4:O4"/>
    <mergeCell ref="A1:P1"/>
    <mergeCell ref="J7:K7"/>
    <mergeCell ref="A26:L26"/>
    <mergeCell ref="D9:D10"/>
    <mergeCell ref="B9:B10"/>
    <mergeCell ref="A20:A22"/>
    <mergeCell ref="A11:A18"/>
    <mergeCell ref="B20:B22"/>
    <mergeCell ref="M9:O9"/>
    <mergeCell ref="A4:D4"/>
    <mergeCell ref="I4:L4"/>
    <mergeCell ref="F9:H9"/>
    <mergeCell ref="I9:I10"/>
    <mergeCell ref="L9:L10"/>
    <mergeCell ref="E9:E10"/>
  </mergeCells>
  <phoneticPr fontId="1"/>
  <conditionalFormatting sqref="D14:L14">
    <cfRule type="expression" dxfId="6" priority="7">
      <formula>$C$14="委託"</formula>
    </cfRule>
    <cfRule type="expression" dxfId="5" priority="8">
      <formula>$C$14="外部搬入"</formula>
    </cfRule>
  </conditionalFormatting>
  <conditionalFormatting sqref="D15:L15">
    <cfRule type="expression" dxfId="4" priority="6">
      <formula>$C$15="管理者等兼務"</formula>
    </cfRule>
  </conditionalFormatting>
  <conditionalFormatting sqref="N11:O11">
    <cfRule type="expression" dxfId="3" priority="5">
      <formula>$M$12="なし"</formula>
    </cfRule>
  </conditionalFormatting>
  <conditionalFormatting sqref="N11:O18 N27:O38">
    <cfRule type="expression" dxfId="2" priority="4">
      <formula>$M11="なし"</formula>
    </cfRule>
  </conditionalFormatting>
  <conditionalFormatting sqref="N20:O22">
    <cfRule type="expression" dxfId="1" priority="3">
      <formula>$M20="なし"</formula>
    </cfRule>
  </conditionalFormatting>
  <conditionalFormatting sqref="N24:O24">
    <cfRule type="expression" dxfId="0" priority="2">
      <formula>$M24="なし"</formula>
    </cfRule>
  </conditionalFormatting>
  <dataValidations count="8">
    <dataValidation type="list" allowBlank="1" showInputMessage="1" showErrorMessage="1" sqref="F24:G24 F20:G22 F11:G18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W27:W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Q4" sqref="Q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33" t="str">
        <f>①基本情報!A1</f>
        <v>教育・保育給付に係る加算等確認表（小規模保育事業A型)</v>
      </c>
      <c r="B1" s="287"/>
      <c r="C1" s="287"/>
      <c r="D1" s="287"/>
      <c r="E1" s="287"/>
      <c r="F1" s="287"/>
      <c r="G1" s="287"/>
      <c r="H1" s="287"/>
      <c r="I1" s="287"/>
      <c r="J1" s="10"/>
      <c r="K1" s="10"/>
      <c r="L1" s="10" t="s">
        <v>184</v>
      </c>
    </row>
    <row r="2" spans="1:18" ht="19.5" thickBot="1">
      <c r="A2" t="s">
        <v>156</v>
      </c>
      <c r="I2" s="159">
        <f>改修履歴!A1</f>
        <v>1</v>
      </c>
      <c r="K2" s="153">
        <f>IF(L2="可",1,0)</f>
        <v>1</v>
      </c>
      <c r="L2" s="154" t="str">
        <f>IF(N2=3,"可","不可")</f>
        <v>可</v>
      </c>
      <c r="M2" s="23" t="s">
        <v>121</v>
      </c>
      <c r="N2">
        <f>SUM(O2:Q2)</f>
        <v>3</v>
      </c>
      <c r="O2">
        <f>IF(⑤集計表!L42&gt;0,1,0)</f>
        <v>1</v>
      </c>
      <c r="P2">
        <f>IF(⑤集計表!O47&gt;=0,1,0)</f>
        <v>1</v>
      </c>
      <c r="Q2">
        <f>$K$7</f>
        <v>1</v>
      </c>
    </row>
    <row r="3" spans="1:18" ht="19.5" thickBot="1">
      <c r="A3" s="242">
        <f>①基本情報!A4</f>
        <v>45748</v>
      </c>
      <c r="B3" s="286"/>
      <c r="C3" s="286"/>
      <c r="D3" s="243"/>
      <c r="K3" s="153">
        <f t="shared" ref="K3:K4" si="0">IF(L3="可",1,0)</f>
        <v>0</v>
      </c>
      <c r="L3" s="154" t="str">
        <f>IF(N3=1,"可","不可")</f>
        <v>不可</v>
      </c>
      <c r="M3" s="23" t="s">
        <v>185</v>
      </c>
      <c r="N3">
        <f>SUM(O3:Q3)</f>
        <v>0</v>
      </c>
      <c r="O3">
        <f>IF(③職員名簿!$E$11="",1,0)</f>
        <v>0</v>
      </c>
    </row>
    <row r="4" spans="1:18" ht="17.25" customHeight="1">
      <c r="A4" s="7"/>
      <c r="B4" s="8"/>
      <c r="C4" s="8"/>
      <c r="D4" s="8"/>
      <c r="E4" s="8"/>
      <c r="F4" s="8"/>
      <c r="G4" s="8"/>
      <c r="H4" s="8"/>
      <c r="I4" s="10"/>
      <c r="K4" s="153">
        <f t="shared" si="0"/>
        <v>1</v>
      </c>
      <c r="L4" s="154" t="str">
        <f>IF(N4=1,"可","不可")</f>
        <v>可</v>
      </c>
      <c r="M4" s="23" t="s">
        <v>187</v>
      </c>
      <c r="N4">
        <f>SUM(O4:Q4)</f>
        <v>1</v>
      </c>
      <c r="O4">
        <f>①基本情報!N4</f>
        <v>1</v>
      </c>
    </row>
    <row r="5" spans="1:18" ht="19.5" thickBot="1">
      <c r="A5" s="3" t="s">
        <v>23</v>
      </c>
      <c r="F5" s="21"/>
      <c r="G5" s="21"/>
      <c r="H5" s="21"/>
      <c r="I5" s="21"/>
      <c r="K5" s="211">
        <f>IF(L5="可",1,0)</f>
        <v>1</v>
      </c>
      <c r="L5" s="210" t="str">
        <f>IF(N5=4,"可","不可")</f>
        <v>可</v>
      </c>
      <c r="M5" s="192" t="s">
        <v>224</v>
      </c>
      <c r="N5" s="201">
        <f>SUM(O5:R5)</f>
        <v>4</v>
      </c>
      <c r="O5">
        <f>IF(⑤集計表!O19&lt;0,0,1)</f>
        <v>1</v>
      </c>
      <c r="P5">
        <f>IF(AND(①基本情報!N12=1,①基本情報!N13&gt;=1),1,0)</f>
        <v>1</v>
      </c>
      <c r="Q5">
        <f>IF(①基本情報!A15&gt;=10,1,0)</f>
        <v>1</v>
      </c>
      <c r="R5" s="201">
        <f>$K$7</f>
        <v>1</v>
      </c>
    </row>
    <row r="6" spans="1:18" ht="19.5" thickBot="1">
      <c r="A6" s="246" t="str">
        <f>①基本情報!A7</f>
        <v>記載例小規模保育所</v>
      </c>
      <c r="B6" s="247"/>
      <c r="C6" s="247"/>
      <c r="D6" s="247"/>
      <c r="E6" s="247"/>
      <c r="F6" s="247"/>
      <c r="G6" s="248"/>
      <c r="H6" s="56"/>
      <c r="L6" s="102"/>
      <c r="M6" s="23"/>
    </row>
    <row r="7" spans="1:18">
      <c r="K7" s="153">
        <f>IF(L7="OK",1,0)</f>
        <v>1</v>
      </c>
      <c r="L7" s="154" t="str">
        <f>IF(⑤集計表!M30="満たしている","OK","NG")</f>
        <v>OK</v>
      </c>
      <c r="M7" s="155" t="s">
        <v>186</v>
      </c>
    </row>
    <row r="8" spans="1:18" ht="19.5" thickBot="1">
      <c r="A8" t="s">
        <v>38</v>
      </c>
      <c r="F8" t="s">
        <v>31</v>
      </c>
      <c r="L8" s="102"/>
      <c r="M8" s="23"/>
    </row>
    <row r="9" spans="1:18" ht="19.5" thickBot="1">
      <c r="A9" s="1">
        <v>1</v>
      </c>
      <c r="B9" s="71" t="s">
        <v>51</v>
      </c>
      <c r="C9" s="288" t="s">
        <v>233</v>
      </c>
      <c r="D9" s="282"/>
      <c r="E9" s="22"/>
      <c r="F9" s="1">
        <v>9</v>
      </c>
      <c r="G9" s="17"/>
      <c r="H9" s="282" t="s">
        <v>122</v>
      </c>
      <c r="I9" s="283"/>
      <c r="L9" s="102"/>
      <c r="M9" s="23"/>
    </row>
    <row r="10" spans="1:18" ht="19.5" thickBot="1">
      <c r="A10" s="197">
        <v>2</v>
      </c>
      <c r="B10" s="198" t="s">
        <v>51</v>
      </c>
      <c r="C10" s="288" t="str">
        <f>IF(K5=1,"1歳児配置改善加算","【適用不可】1歳児配置改善加算")</f>
        <v>1歳児配置改善加算</v>
      </c>
      <c r="D10" s="282"/>
      <c r="E10" s="22"/>
      <c r="F10" s="1">
        <v>10</v>
      </c>
      <c r="G10" s="17"/>
      <c r="H10" s="282" t="s">
        <v>123</v>
      </c>
      <c r="I10" s="283"/>
      <c r="L10" s="102"/>
      <c r="M10" s="23"/>
    </row>
    <row r="11" spans="1:18" ht="19.5" thickBot="1">
      <c r="A11" s="103">
        <v>3</v>
      </c>
      <c r="B11" s="104"/>
      <c r="C11" s="289" t="s">
        <v>120</v>
      </c>
      <c r="D11" s="284"/>
      <c r="E11" s="22"/>
      <c r="F11" s="1">
        <v>11</v>
      </c>
      <c r="G11" s="17"/>
      <c r="H11" s="282" t="str">
        <f>IF(K3=1,"管理者を配置していない場合","【適用不可（"&amp;③職員名簿!E11&amp;"）】管理者を配置していない場合")</f>
        <v>【適用不可（a）】管理者を配置していない場合</v>
      </c>
      <c r="I11" s="283"/>
      <c r="L11" s="102"/>
      <c r="M11" s="23"/>
    </row>
    <row r="12" spans="1:18" ht="19.5" thickBot="1">
      <c r="A12" s="1">
        <v>4</v>
      </c>
      <c r="B12" s="17" t="s">
        <v>51</v>
      </c>
      <c r="C12" s="122">
        <f>M24</f>
        <v>1</v>
      </c>
      <c r="D12" s="115" t="str">
        <f>IF(K2=1,"障害児保育加算","【適用不可】障害児保育加算")</f>
        <v>障害児保育加算</v>
      </c>
      <c r="E12" s="22"/>
      <c r="F12" s="1">
        <v>12</v>
      </c>
      <c r="G12" s="170"/>
      <c r="H12" s="171"/>
      <c r="I12" s="73" t="s">
        <v>201</v>
      </c>
      <c r="L12" s="102"/>
      <c r="M12" s="23"/>
    </row>
    <row r="13" spans="1:18" ht="19.5" thickBot="1">
      <c r="A13" s="1">
        <v>5</v>
      </c>
      <c r="B13" s="17"/>
      <c r="C13" s="111"/>
      <c r="D13" s="55" t="s">
        <v>27</v>
      </c>
      <c r="E13" s="22"/>
      <c r="L13" s="102"/>
      <c r="M13" s="23"/>
    </row>
    <row r="14" spans="1:18" ht="19.5" thickBot="1">
      <c r="A14" s="103">
        <v>6</v>
      </c>
      <c r="B14" s="104"/>
      <c r="C14" s="290" t="s">
        <v>28</v>
      </c>
      <c r="D14" s="285"/>
      <c r="E14" s="22"/>
      <c r="F14" t="s">
        <v>32</v>
      </c>
      <c r="I14" s="23"/>
      <c r="L14" s="102"/>
      <c r="M14" s="23"/>
    </row>
    <row r="15" spans="1:18" ht="19.5" thickBot="1">
      <c r="A15" s="1">
        <v>7</v>
      </c>
      <c r="B15" s="17"/>
      <c r="C15" s="282" t="s">
        <v>29</v>
      </c>
      <c r="D15" s="283"/>
      <c r="E15" s="22"/>
      <c r="F15" s="121">
        <v>13</v>
      </c>
      <c r="G15" s="17"/>
      <c r="H15" s="282" t="s">
        <v>124</v>
      </c>
      <c r="I15" s="283"/>
      <c r="L15" s="102"/>
      <c r="M15" s="23"/>
      <c r="R15" s="112" t="s">
        <v>108</v>
      </c>
    </row>
    <row r="16" spans="1:18" ht="19.5" customHeight="1" thickBot="1">
      <c r="A16" s="1">
        <v>8</v>
      </c>
      <c r="B16" s="17" t="s">
        <v>51</v>
      </c>
      <c r="C16" s="282" t="s">
        <v>30</v>
      </c>
      <c r="D16" s="283"/>
      <c r="E16" s="22"/>
      <c r="L16" s="102"/>
      <c r="M16" s="23"/>
      <c r="R16" s="108" t="s">
        <v>94</v>
      </c>
    </row>
    <row r="17" spans="5:18" ht="19.5" thickBot="1">
      <c r="E17" s="22"/>
      <c r="F17" t="s">
        <v>33</v>
      </c>
      <c r="I17" s="23"/>
      <c r="L17" s="102"/>
      <c r="M17" s="23"/>
      <c r="R17" s="108" t="s">
        <v>95</v>
      </c>
    </row>
    <row r="18" spans="5:18" ht="19.5" thickBot="1">
      <c r="E18" s="22"/>
      <c r="F18" s="1">
        <v>14</v>
      </c>
      <c r="G18" s="17" t="s">
        <v>51</v>
      </c>
      <c r="H18" s="282" t="s">
        <v>234</v>
      </c>
      <c r="I18" s="283"/>
      <c r="L18" s="102"/>
      <c r="M18" s="23"/>
      <c r="R18" s="108" t="s">
        <v>96</v>
      </c>
    </row>
    <row r="19" spans="5:18" ht="19.5" thickBot="1">
      <c r="E19" s="22"/>
      <c r="F19" s="1">
        <v>15</v>
      </c>
      <c r="G19" s="122" t="s">
        <v>51</v>
      </c>
      <c r="H19" s="282" t="s">
        <v>34</v>
      </c>
      <c r="I19" s="283"/>
      <c r="L19" s="102"/>
      <c r="M19" s="23"/>
      <c r="R19" s="108" t="s">
        <v>97</v>
      </c>
    </row>
    <row r="20" spans="5:18" ht="19.5" thickBot="1">
      <c r="E20" s="22"/>
      <c r="F20" s="103">
        <v>16</v>
      </c>
      <c r="G20" s="104"/>
      <c r="H20" s="284" t="s">
        <v>35</v>
      </c>
      <c r="I20" s="285"/>
      <c r="L20" s="102"/>
      <c r="M20" s="23"/>
      <c r="R20" s="108" t="s">
        <v>98</v>
      </c>
    </row>
    <row r="21" spans="5:18" ht="19.5" thickBot="1">
      <c r="E21" s="22"/>
      <c r="F21" s="103">
        <v>17</v>
      </c>
      <c r="G21" s="104"/>
      <c r="H21" s="284" t="s">
        <v>36</v>
      </c>
      <c r="I21" s="285"/>
      <c r="L21" s="102"/>
      <c r="M21" s="23"/>
      <c r="R21" s="108" t="s">
        <v>99</v>
      </c>
    </row>
    <row r="22" spans="5:18" ht="18.75" customHeight="1" thickBot="1">
      <c r="E22" s="22"/>
      <c r="F22" s="1">
        <v>18</v>
      </c>
      <c r="G22" s="17"/>
      <c r="H22" s="282" t="str">
        <f>IF(K4=1,"施設機能強化推進費加算","【適用不可】施設機能強化推進費加算")</f>
        <v>施設機能強化推進費加算</v>
      </c>
      <c r="I22" s="283"/>
      <c r="L22" s="102"/>
      <c r="M22" s="23"/>
      <c r="R22" s="108" t="s">
        <v>100</v>
      </c>
    </row>
    <row r="23" spans="5:18" ht="19.5" thickBot="1">
      <c r="F23" s="1">
        <v>19</v>
      </c>
      <c r="G23" s="17" t="s">
        <v>51</v>
      </c>
      <c r="H23" s="72" t="s">
        <v>241</v>
      </c>
      <c r="I23" s="73" t="s">
        <v>77</v>
      </c>
      <c r="L23" t="s">
        <v>125</v>
      </c>
      <c r="R23" s="108" t="s">
        <v>101</v>
      </c>
    </row>
    <row r="24" spans="5:18" ht="19.5" thickBot="1">
      <c r="F24" s="1">
        <v>20</v>
      </c>
      <c r="G24" s="17"/>
      <c r="H24" s="282" t="s">
        <v>37</v>
      </c>
      <c r="I24" s="283"/>
      <c r="M24" s="44">
        <f>②児童名簿!Q15</f>
        <v>1</v>
      </c>
      <c r="R24" s="108" t="s">
        <v>102</v>
      </c>
    </row>
    <row r="25" spans="5:18" ht="18.75" customHeight="1">
      <c r="N25" s="227"/>
      <c r="R25" s="223" t="s">
        <v>103</v>
      </c>
    </row>
    <row r="26" spans="5:18">
      <c r="R26" s="108" t="s">
        <v>104</v>
      </c>
    </row>
    <row r="27" spans="5:18">
      <c r="R27" s="108" t="s">
        <v>105</v>
      </c>
    </row>
    <row r="28" spans="5:18">
      <c r="R28" s="108" t="s">
        <v>106</v>
      </c>
    </row>
    <row r="29" spans="5:18">
      <c r="R29" s="108" t="s">
        <v>107</v>
      </c>
    </row>
  </sheetData>
  <mergeCells count="19">
    <mergeCell ref="C14:D14"/>
    <mergeCell ref="C15:D15"/>
    <mergeCell ref="C16:D16"/>
    <mergeCell ref="H11:I11"/>
    <mergeCell ref="A6:G6"/>
    <mergeCell ref="C10:D10"/>
    <mergeCell ref="A3:D3"/>
    <mergeCell ref="A1:I1"/>
    <mergeCell ref="C9:D9"/>
    <mergeCell ref="C11:D11"/>
    <mergeCell ref="H10:I10"/>
    <mergeCell ref="H9:I9"/>
    <mergeCell ref="H19:I19"/>
    <mergeCell ref="H15:I15"/>
    <mergeCell ref="H22:I22"/>
    <mergeCell ref="H24:I24"/>
    <mergeCell ref="H20:I20"/>
    <mergeCell ref="H21:I21"/>
    <mergeCell ref="H18:I18"/>
  </mergeCells>
  <phoneticPr fontId="1"/>
  <dataValidations count="5">
    <dataValidation type="list" allowBlank="1" showInputMessage="1" showErrorMessage="1" sqref="G15 G18:G24 G9:G12 B9:B16">
      <formula1>"〇"</formula1>
    </dataValidation>
    <dataValidation type="whole" allowBlank="1" showInputMessage="1" showErrorMessage="1" sqref="C12">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3">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6"/>
  <sheetViews>
    <sheetView view="pageBreakPreview" zoomScale="130" zoomScaleNormal="130" zoomScaleSheetLayoutView="130" workbookViewId="0">
      <selection activeCell="K49" sqref="K49:M49"/>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20" ht="19.5">
      <c r="B1" s="293" t="str">
        <f>①基本情報!A1</f>
        <v>教育・保育給付に係る加算等確認表（小規模保育事業A型)</v>
      </c>
      <c r="C1" s="293"/>
      <c r="D1" s="293"/>
      <c r="E1" s="293"/>
      <c r="F1" s="293"/>
      <c r="G1" s="293"/>
      <c r="H1" s="293"/>
      <c r="I1" s="293"/>
      <c r="J1" s="293"/>
      <c r="K1" s="293"/>
      <c r="L1" s="293"/>
      <c r="M1" s="293"/>
      <c r="N1" s="293"/>
      <c r="O1" s="4"/>
    </row>
    <row r="2" spans="1:20" s="4" customFormat="1" ht="15.75">
      <c r="B2" s="59"/>
      <c r="C2" s="59"/>
      <c r="D2" s="59"/>
      <c r="F2" s="59"/>
      <c r="G2" s="59"/>
      <c r="H2" s="59"/>
      <c r="O2" s="162">
        <f>改修履歴!A1</f>
        <v>1</v>
      </c>
    </row>
    <row r="3" spans="1:20" s="4" customFormat="1" ht="19.5" customHeight="1" thickBot="1">
      <c r="B3" s="298" t="s">
        <v>23</v>
      </c>
      <c r="C3" s="298"/>
      <c r="D3" s="298"/>
      <c r="E3" s="298"/>
      <c r="F3" s="298"/>
      <c r="N3" s="299" t="s">
        <v>156</v>
      </c>
      <c r="O3" s="299"/>
    </row>
    <row r="4" spans="1:20" s="4" customFormat="1" ht="19.5" customHeight="1" thickBot="1">
      <c r="B4" s="304" t="str">
        <f>①基本情報!A7</f>
        <v>記載例小規模保育所</v>
      </c>
      <c r="C4" s="305"/>
      <c r="D4" s="305"/>
      <c r="E4" s="305"/>
      <c r="F4" s="305"/>
      <c r="G4" s="305"/>
      <c r="H4" s="305"/>
      <c r="I4" s="305"/>
      <c r="J4" s="305"/>
      <c r="K4" s="306"/>
      <c r="L4" s="98"/>
      <c r="M4" s="74"/>
      <c r="N4" s="302">
        <f>①基本情報!A4</f>
        <v>45748</v>
      </c>
      <c r="O4" s="303"/>
    </row>
    <row r="5" spans="1:20" s="4" customFormat="1" ht="15.75">
      <c r="B5" s="59"/>
      <c r="C5" s="59"/>
      <c r="D5" s="59"/>
      <c r="F5" s="59"/>
      <c r="G5" s="59"/>
      <c r="H5" s="59"/>
    </row>
    <row r="6" spans="1:20" s="4" customFormat="1" ht="16.5" thickBot="1">
      <c r="B6" s="59"/>
      <c r="C6" s="59"/>
      <c r="D6" s="59"/>
      <c r="F6" s="59"/>
      <c r="G6" s="59"/>
      <c r="H6" s="59"/>
    </row>
    <row r="7" spans="1:20" s="4" customFormat="1" ht="16.5" thickBot="1">
      <c r="A7" s="294" t="s">
        <v>68</v>
      </c>
      <c r="B7" s="295"/>
      <c r="C7" s="295"/>
      <c r="D7" s="295"/>
      <c r="E7" s="295"/>
      <c r="F7" s="295"/>
      <c r="G7" s="295"/>
      <c r="H7" s="295"/>
      <c r="I7" s="296"/>
      <c r="K7" s="301" t="s">
        <v>154</v>
      </c>
      <c r="L7" s="301"/>
      <c r="M7" s="301"/>
      <c r="N7" s="301"/>
      <c r="O7" s="301"/>
    </row>
    <row r="8" spans="1:20" s="4" customFormat="1" ht="17.25" thickBot="1">
      <c r="A8" s="78"/>
      <c r="B8" s="77"/>
      <c r="C8" s="10"/>
      <c r="D8" s="10"/>
      <c r="E8" s="74"/>
      <c r="F8" s="77"/>
      <c r="G8" s="10"/>
      <c r="H8" s="10"/>
      <c r="I8" s="79"/>
      <c r="K8" s="297" t="str">
        <f>"常勤 "&amp;③職員名簿!S28&amp;" 人+ 非常勤常勤換算 "&amp;③職員名簿!U29&amp;"人"</f>
        <v>常勤 5 人+ 非常勤常勤換算 1.5人</v>
      </c>
      <c r="L8" s="297"/>
      <c r="M8" s="297"/>
      <c r="N8" s="93" t="s">
        <v>72</v>
      </c>
      <c r="O8" s="68">
        <f>③職員名簿!S28+③職員名簿!U29</f>
        <v>6.5</v>
      </c>
      <c r="P8" s="4" t="s">
        <v>67</v>
      </c>
    </row>
    <row r="9" spans="1:20" s="4" customFormat="1" ht="15.75">
      <c r="A9" s="78"/>
      <c r="B9" s="60" t="str">
        <f>IF(①基本情報!J4="","",①基本情報!J4)</f>
        <v>〇</v>
      </c>
      <c r="C9" s="70">
        <v>1</v>
      </c>
      <c r="D9" s="292" t="s">
        <v>129</v>
      </c>
      <c r="E9" s="292"/>
      <c r="F9" s="292"/>
      <c r="G9" s="292"/>
      <c r="H9" s="292"/>
      <c r="I9" s="79"/>
      <c r="O9" s="4" t="str">
        <f>IF(O8-M19&lt;=0,"NG","")</f>
        <v/>
      </c>
    </row>
    <row r="10" spans="1:20" s="4" customFormat="1" ht="15.75">
      <c r="A10" s="78"/>
      <c r="B10" s="60" t="str">
        <f>IF(①基本情報!J5="","",①基本情報!J5)</f>
        <v/>
      </c>
      <c r="C10" s="70">
        <v>2</v>
      </c>
      <c r="D10" s="292" t="s">
        <v>130</v>
      </c>
      <c r="E10" s="292"/>
      <c r="F10" s="292"/>
      <c r="G10" s="292"/>
      <c r="H10" s="292"/>
      <c r="I10" s="79"/>
      <c r="K10" s="300" t="s">
        <v>65</v>
      </c>
      <c r="L10" s="300"/>
      <c r="M10" s="300"/>
      <c r="N10" s="96"/>
    </row>
    <row r="11" spans="1:20" s="4" customFormat="1" ht="15.75">
      <c r="A11" s="78"/>
      <c r="B11" s="60" t="str">
        <f>IF(①基本情報!J6="","",①基本情報!J6)</f>
        <v/>
      </c>
      <c r="C11" s="70">
        <v>3</v>
      </c>
      <c r="D11" s="292" t="s">
        <v>131</v>
      </c>
      <c r="E11" s="292"/>
      <c r="F11" s="292"/>
      <c r="G11" s="292"/>
      <c r="H11" s="292"/>
      <c r="I11" s="79"/>
      <c r="K11" s="43"/>
      <c r="L11" s="43" t="s">
        <v>47</v>
      </c>
      <c r="M11" s="43" t="s">
        <v>48</v>
      </c>
    </row>
    <row r="12" spans="1:20" s="4" customFormat="1" ht="15.75" customHeight="1">
      <c r="A12" s="78"/>
      <c r="B12" s="60" t="str">
        <f>IF(①基本情報!J7="","",①基本情報!J7)</f>
        <v>〇</v>
      </c>
      <c r="C12" s="70">
        <v>4</v>
      </c>
      <c r="D12" s="292" t="s">
        <v>133</v>
      </c>
      <c r="E12" s="292"/>
      <c r="F12" s="292"/>
      <c r="G12" s="292"/>
      <c r="H12" s="292"/>
      <c r="I12" s="79"/>
      <c r="K12" s="43" t="s">
        <v>45</v>
      </c>
      <c r="L12" s="11">
        <f>②児童名簿!K11</f>
        <v>1</v>
      </c>
      <c r="M12" s="61">
        <f>ROUNDDOWN(L12/3,1)</f>
        <v>0.3</v>
      </c>
      <c r="N12" s="4" t="s">
        <v>67</v>
      </c>
    </row>
    <row r="13" spans="1:20" s="4" customFormat="1" ht="15.75">
      <c r="A13" s="78"/>
      <c r="B13" s="60" t="str">
        <f>IF(①基本情報!J8="","",①基本情報!J8)</f>
        <v>〇</v>
      </c>
      <c r="C13" s="94">
        <v>5</v>
      </c>
      <c r="D13" s="292" t="s">
        <v>132</v>
      </c>
      <c r="E13" s="292"/>
      <c r="F13" s="292"/>
      <c r="G13" s="292"/>
      <c r="H13" s="292"/>
      <c r="I13" s="79"/>
      <c r="J13" s="202"/>
      <c r="K13" s="204" t="s">
        <v>226</v>
      </c>
      <c r="L13" s="203">
        <f>②児童名簿!L11</f>
        <v>7</v>
      </c>
      <c r="M13" s="206">
        <f>IF(B20="〇",ROUNDDOWN(L13/5,1),ROUNDDOWN(L13/6,1))</f>
        <v>1.4</v>
      </c>
      <c r="N13" s="213" t="s">
        <v>67</v>
      </c>
      <c r="O13" s="202"/>
      <c r="P13" s="202"/>
      <c r="Q13" s="202"/>
      <c r="R13" s="202"/>
      <c r="S13" s="202"/>
      <c r="T13" s="202"/>
    </row>
    <row r="14" spans="1:20" s="4" customFormat="1" ht="15.75">
      <c r="A14" s="78"/>
      <c r="B14" s="205" t="str">
        <f>IF(①基本情報!J9="","",①基本情報!J9)</f>
        <v/>
      </c>
      <c r="C14" s="204">
        <v>6</v>
      </c>
      <c r="D14" s="291" t="s">
        <v>225</v>
      </c>
      <c r="E14" s="292"/>
      <c r="F14" s="292"/>
      <c r="G14" s="292"/>
      <c r="H14" s="292"/>
      <c r="I14" s="79"/>
      <c r="K14" s="43" t="s">
        <v>2</v>
      </c>
      <c r="L14" s="11">
        <f>②児童名簿!M11</f>
        <v>6</v>
      </c>
      <c r="M14" s="61">
        <f>ROUNDDOWN(L14/6,1)</f>
        <v>1</v>
      </c>
      <c r="N14" s="4" t="s">
        <v>67</v>
      </c>
    </row>
    <row r="15" spans="1:20" s="4" customFormat="1" ht="16.5" thickBot="1">
      <c r="A15" s="80"/>
      <c r="B15" s="81"/>
      <c r="C15" s="81"/>
      <c r="D15" s="82"/>
      <c r="E15" s="83"/>
      <c r="F15" s="84"/>
      <c r="G15" s="81"/>
      <c r="H15" s="209">
        <f>①基本情報!N2</f>
        <v>3</v>
      </c>
      <c r="I15" s="85"/>
      <c r="K15" s="43" t="s">
        <v>46</v>
      </c>
      <c r="L15" s="11">
        <f>②児童名簿!N11</f>
        <v>0</v>
      </c>
      <c r="M15" s="61">
        <f>ROUNDDOWN(L15/20,1)</f>
        <v>0</v>
      </c>
      <c r="N15" s="4" t="s">
        <v>67</v>
      </c>
    </row>
    <row r="16" spans="1:20" s="4" customFormat="1" ht="16.5" thickBot="1">
      <c r="B16" s="10"/>
      <c r="C16" s="10"/>
      <c r="D16" s="75"/>
      <c r="E16" s="76"/>
      <c r="F16" s="63"/>
      <c r="G16" s="63"/>
      <c r="H16" s="64"/>
      <c r="K16" s="43" t="s">
        <v>50</v>
      </c>
      <c r="L16" s="11">
        <f>②児童名簿!O11+②児童名簿!P11</f>
        <v>0</v>
      </c>
      <c r="M16" s="65">
        <f>ROUNDDOWN(L16/30,1)</f>
        <v>0</v>
      </c>
      <c r="N16" s="4" t="s">
        <v>67</v>
      </c>
    </row>
    <row r="17" spans="1:16" s="4" customFormat="1" ht="19.5" customHeight="1" thickBot="1">
      <c r="A17" s="310" t="s">
        <v>66</v>
      </c>
      <c r="B17" s="311"/>
      <c r="C17" s="311"/>
      <c r="D17" s="311"/>
      <c r="E17" s="311"/>
      <c r="F17" s="311"/>
      <c r="G17" s="311"/>
      <c r="H17" s="311"/>
      <c r="I17" s="312"/>
      <c r="K17" s="124" t="str">
        <f>IF(④加算!B10="〇","※1歳児配置改善加算適用")</f>
        <v>※1歳児配置改善加算適用</v>
      </c>
      <c r="L17" s="62" t="s">
        <v>49</v>
      </c>
      <c r="M17" s="67">
        <f>SUM(M12:M16)</f>
        <v>2.7</v>
      </c>
      <c r="N17" s="4" t="s">
        <v>67</v>
      </c>
      <c r="O17" s="74"/>
    </row>
    <row r="18" spans="1:16" s="4" customFormat="1" ht="16.5" thickBot="1">
      <c r="A18" s="78"/>
      <c r="B18" s="77" t="s">
        <v>38</v>
      </c>
      <c r="C18" s="10"/>
      <c r="D18" s="10"/>
      <c r="E18" s="66"/>
      <c r="F18" s="77" t="s">
        <v>31</v>
      </c>
      <c r="G18" s="10"/>
      <c r="H18" s="10"/>
      <c r="I18" s="79"/>
      <c r="K18" s="125"/>
      <c r="M18" s="145" t="s">
        <v>164</v>
      </c>
    </row>
    <row r="19" spans="1:16" s="4" customFormat="1" ht="16.5" thickBot="1">
      <c r="A19" s="78"/>
      <c r="B19" s="60" t="str">
        <f>IF(④加算!B9="","",④加算!B9)</f>
        <v>〇</v>
      </c>
      <c r="C19" s="70">
        <v>1</v>
      </c>
      <c r="D19" s="222" t="s">
        <v>235</v>
      </c>
      <c r="E19" s="66"/>
      <c r="F19" s="60" t="str">
        <f>IF(④加算!G9="","",④加算!G9)</f>
        <v/>
      </c>
      <c r="G19" s="70">
        <v>9</v>
      </c>
      <c r="H19" s="70" t="s">
        <v>140</v>
      </c>
      <c r="I19" s="79"/>
      <c r="M19" s="67">
        <f>ROUND(M17+1,0)</f>
        <v>4</v>
      </c>
      <c r="N19" s="4" t="s">
        <v>67</v>
      </c>
      <c r="O19" s="67">
        <f>O8-M19</f>
        <v>2.5</v>
      </c>
      <c r="P19" s="4" t="s">
        <v>67</v>
      </c>
    </row>
    <row r="20" spans="1:16" s="4" customFormat="1" ht="15.75">
      <c r="A20" s="208"/>
      <c r="B20" s="205" t="str">
        <f>IF(④加算!B10="","",④加算!B10)</f>
        <v>〇</v>
      </c>
      <c r="C20" s="204">
        <v>2</v>
      </c>
      <c r="D20" s="215" t="s">
        <v>227</v>
      </c>
      <c r="E20" s="207"/>
      <c r="F20" s="60" t="str">
        <f>IF(④加算!G10="","",④加算!G10)</f>
        <v/>
      </c>
      <c r="G20" s="70">
        <v>10</v>
      </c>
      <c r="H20" s="70" t="s">
        <v>141</v>
      </c>
      <c r="I20" s="79"/>
      <c r="K20" s="309"/>
      <c r="L20" s="309"/>
    </row>
    <row r="21" spans="1:16" s="4" customFormat="1" ht="15.75">
      <c r="A21" s="78"/>
      <c r="B21" s="60" t="str">
        <f>IF(④加算!B11="","",④加算!B11)</f>
        <v/>
      </c>
      <c r="C21" s="70">
        <v>3</v>
      </c>
      <c r="D21" s="70" t="s">
        <v>134</v>
      </c>
      <c r="E21" s="66"/>
      <c r="F21" s="60" t="str">
        <f>IF(④加算!G11="","",④加算!G11)</f>
        <v/>
      </c>
      <c r="G21" s="70">
        <v>11</v>
      </c>
      <c r="H21" s="70" t="s">
        <v>142</v>
      </c>
      <c r="I21" s="79"/>
      <c r="K21" s="309" t="s">
        <v>87</v>
      </c>
      <c r="L21" s="309"/>
      <c r="M21" s="106" t="str">
        <f>IF(O19&gt;=0,"満たしている","満たしていない")</f>
        <v>満たしている</v>
      </c>
      <c r="N21" s="125"/>
    </row>
    <row r="22" spans="1:16" s="4" customFormat="1" ht="15.75">
      <c r="A22" s="78"/>
      <c r="B22" s="60">
        <f>IF(④加算!B12="","",④加算!C12)</f>
        <v>1</v>
      </c>
      <c r="C22" s="215">
        <v>4</v>
      </c>
      <c r="D22" s="70" t="s">
        <v>135</v>
      </c>
      <c r="E22" s="66"/>
      <c r="F22" s="60" t="str">
        <f>IF(④加算!G12="","",④加算!H12)</f>
        <v/>
      </c>
      <c r="G22" s="116">
        <v>12</v>
      </c>
      <c r="H22" s="116" t="s">
        <v>76</v>
      </c>
      <c r="I22" s="79"/>
      <c r="K22" s="125"/>
      <c r="L22" s="125"/>
      <c r="M22" s="125"/>
      <c r="N22" s="125"/>
    </row>
    <row r="23" spans="1:16" s="4" customFormat="1" ht="15.75">
      <c r="A23" s="78"/>
      <c r="B23" s="60" t="str">
        <f>IF(④加算!B13="","",④加算!C13)</f>
        <v/>
      </c>
      <c r="C23" s="215">
        <v>5</v>
      </c>
      <c r="D23" s="70" t="s">
        <v>136</v>
      </c>
      <c r="E23" s="66"/>
      <c r="F23" s="10"/>
      <c r="G23" s="10"/>
      <c r="H23" s="10"/>
      <c r="I23" s="79"/>
    </row>
    <row r="24" spans="1:16" s="4" customFormat="1" ht="15.75">
      <c r="A24" s="78"/>
      <c r="B24" s="60" t="str">
        <f>IF(④加算!B14="","",④加算!B14)</f>
        <v/>
      </c>
      <c r="C24" s="215">
        <v>6</v>
      </c>
      <c r="D24" s="70" t="s">
        <v>137</v>
      </c>
      <c r="E24" s="66"/>
      <c r="F24" s="77" t="s">
        <v>32</v>
      </c>
      <c r="G24" s="10"/>
      <c r="H24" s="10"/>
      <c r="I24" s="79"/>
      <c r="K24" s="314" t="s">
        <v>86</v>
      </c>
      <c r="L24" s="315"/>
      <c r="M24" s="315"/>
    </row>
    <row r="25" spans="1:16" s="4" customFormat="1" ht="15.75">
      <c r="A25" s="78"/>
      <c r="B25" s="60" t="str">
        <f>IF(④加算!B15="","",④加算!B15)</f>
        <v/>
      </c>
      <c r="C25" s="215">
        <v>7</v>
      </c>
      <c r="D25" s="70" t="s">
        <v>138</v>
      </c>
      <c r="E25" s="66"/>
      <c r="F25" s="60" t="str">
        <f>IF(④加算!G15="","",④加算!G15)</f>
        <v/>
      </c>
      <c r="G25" s="116">
        <v>13</v>
      </c>
      <c r="H25" s="116" t="s">
        <v>143</v>
      </c>
      <c r="I25" s="79"/>
      <c r="K25" s="313" t="s">
        <v>78</v>
      </c>
      <c r="L25" s="313"/>
      <c r="M25" s="95">
        <f>IF(B10="〇",1,0)</f>
        <v>0</v>
      </c>
      <c r="N25" s="4" t="s">
        <v>67</v>
      </c>
    </row>
    <row r="26" spans="1:16" s="4" customFormat="1" ht="15.75">
      <c r="A26" s="78"/>
      <c r="B26" s="60" t="str">
        <f>IF(④加算!B16="","",④加算!B16)</f>
        <v>〇</v>
      </c>
      <c r="C26" s="215">
        <v>8</v>
      </c>
      <c r="D26" s="70" t="s">
        <v>139</v>
      </c>
      <c r="E26" s="66"/>
      <c r="F26" s="10"/>
      <c r="G26" s="10"/>
      <c r="H26" s="10"/>
      <c r="I26" s="79"/>
      <c r="M26" s="126"/>
    </row>
    <row r="27" spans="1:16" s="4" customFormat="1" ht="16.5" thickBot="1">
      <c r="A27" s="78"/>
      <c r="B27" s="10"/>
      <c r="C27" s="10"/>
      <c r="D27" s="10"/>
      <c r="E27" s="66"/>
      <c r="F27" s="77" t="s">
        <v>33</v>
      </c>
      <c r="G27" s="10"/>
      <c r="H27" s="10"/>
      <c r="I27" s="79"/>
      <c r="K27" s="134" t="s">
        <v>166</v>
      </c>
    </row>
    <row r="28" spans="1:16" s="4" customFormat="1" ht="18.75" customHeight="1" thickBot="1">
      <c r="A28" s="78"/>
      <c r="B28" s="10"/>
      <c r="C28" s="10"/>
      <c r="D28" s="10"/>
      <c r="E28" s="66"/>
      <c r="F28" s="60" t="str">
        <f>IF(④加算!G18="","",④加算!G18)</f>
        <v>〇</v>
      </c>
      <c r="G28" s="116">
        <v>14</v>
      </c>
      <c r="H28" s="222" t="s">
        <v>236</v>
      </c>
      <c r="I28" s="79"/>
      <c r="K28" s="308" t="s">
        <v>167</v>
      </c>
      <c r="L28" s="308"/>
      <c r="M28" s="95" t="str">
        <f>IF(③職員名簿!X13=1,"OK","NG")</f>
        <v>OK</v>
      </c>
      <c r="N28" s="132">
        <f>IF(COUNTIF(M28,"OK")=1,1,0)</f>
        <v>1</v>
      </c>
      <c r="O28" s="67">
        <f>O19-M25</f>
        <v>2.5</v>
      </c>
      <c r="P28" s="4" t="s">
        <v>67</v>
      </c>
    </row>
    <row r="29" spans="1:16" s="4" customFormat="1" ht="15.75">
      <c r="A29" s="78"/>
      <c r="B29" s="10"/>
      <c r="C29" s="10"/>
      <c r="D29" s="10"/>
      <c r="E29" s="66"/>
      <c r="F29" s="60" t="str">
        <f>IF(④加算!G19="","",④加算!G19)</f>
        <v>〇</v>
      </c>
      <c r="G29" s="116">
        <v>15</v>
      </c>
      <c r="H29" s="116" t="s">
        <v>62</v>
      </c>
      <c r="I29" s="79"/>
      <c r="J29" s="151"/>
      <c r="K29" s="317" t="s">
        <v>168</v>
      </c>
      <c r="L29" s="317"/>
      <c r="M29" s="150"/>
    </row>
    <row r="30" spans="1:16" s="4" customFormat="1" ht="16.5" customHeight="1">
      <c r="A30" s="78"/>
      <c r="B30" s="10"/>
      <c r="C30" s="10"/>
      <c r="D30" s="10"/>
      <c r="E30" s="66"/>
      <c r="F30" s="105" t="str">
        <f>IF(④加算!G20="","",④加算!G20)</f>
        <v/>
      </c>
      <c r="G30" s="105">
        <v>16</v>
      </c>
      <c r="H30" s="105" t="s">
        <v>63</v>
      </c>
      <c r="I30" s="79"/>
      <c r="J30" s="151"/>
      <c r="K30" s="318"/>
      <c r="L30" s="318"/>
      <c r="M30" s="106" t="str">
        <f>IF($O$28&gt;=0,IF(N28=1,"満たしている","満たしていない"),"満たしていない")</f>
        <v>満たしている</v>
      </c>
    </row>
    <row r="31" spans="1:16" s="4" customFormat="1" ht="15.75">
      <c r="A31" s="78"/>
      <c r="B31" s="10"/>
      <c r="C31" s="10"/>
      <c r="D31" s="10"/>
      <c r="E31" s="66"/>
      <c r="F31" s="105" t="str">
        <f>IF(④加算!G21="","",④加算!G21)</f>
        <v/>
      </c>
      <c r="G31" s="105">
        <v>17</v>
      </c>
      <c r="H31" s="105" t="s">
        <v>64</v>
      </c>
      <c r="I31" s="79"/>
    </row>
    <row r="32" spans="1:16" s="4" customFormat="1" ht="15" customHeight="1">
      <c r="A32" s="78"/>
      <c r="B32" s="10"/>
      <c r="C32" s="10"/>
      <c r="D32" s="10"/>
      <c r="E32" s="66"/>
      <c r="F32" s="60" t="str">
        <f>IF(④加算!G22="","",④加算!G22)</f>
        <v/>
      </c>
      <c r="G32" s="116">
        <v>18</v>
      </c>
      <c r="H32" s="116" t="s">
        <v>75</v>
      </c>
      <c r="I32" s="79"/>
    </row>
    <row r="33" spans="1:19" s="4" customFormat="1" ht="15.75">
      <c r="A33" s="78"/>
      <c r="B33" s="10"/>
      <c r="C33" s="10"/>
      <c r="D33" s="10"/>
      <c r="E33" s="66"/>
      <c r="F33" s="60" t="str">
        <f>IF(④加算!G23="","",④加算!H23)</f>
        <v>C</v>
      </c>
      <c r="G33" s="116">
        <v>19</v>
      </c>
      <c r="H33" s="116" t="s">
        <v>73</v>
      </c>
      <c r="I33" s="79"/>
      <c r="K33" s="136" t="s">
        <v>159</v>
      </c>
      <c r="L33" s="135"/>
      <c r="M33" s="135"/>
      <c r="N33" s="131"/>
    </row>
    <row r="34" spans="1:19" s="4" customFormat="1" ht="15.75">
      <c r="A34" s="78"/>
      <c r="B34" s="10"/>
      <c r="C34" s="10"/>
      <c r="D34" s="10"/>
      <c r="E34" s="74"/>
      <c r="F34" s="60" t="str">
        <f>IF(④加算!G24="","",④加算!G24)</f>
        <v/>
      </c>
      <c r="G34" s="116">
        <v>20</v>
      </c>
      <c r="H34" s="116" t="s">
        <v>74</v>
      </c>
      <c r="I34" s="79"/>
      <c r="K34" s="116"/>
      <c r="L34" s="116" t="s">
        <v>47</v>
      </c>
      <c r="M34" s="116" t="s">
        <v>48</v>
      </c>
    </row>
    <row r="35" spans="1:19" s="4" customFormat="1" ht="15.75">
      <c r="A35" s="78"/>
      <c r="B35" s="10"/>
      <c r="C35" s="10"/>
      <c r="D35" s="10"/>
      <c r="E35" s="74"/>
      <c r="F35" s="228"/>
      <c r="G35" s="228"/>
      <c r="H35" s="228"/>
      <c r="I35" s="79"/>
      <c r="K35" s="116" t="s">
        <v>45</v>
      </c>
      <c r="L35" s="11">
        <f>②児童名簿!K19</f>
        <v>1</v>
      </c>
      <c r="M35" s="61">
        <f>ROUNDDOWN(L35/3,1)</f>
        <v>0.3</v>
      </c>
      <c r="N35" s="4" t="s">
        <v>67</v>
      </c>
    </row>
    <row r="36" spans="1:19" s="4" customFormat="1" ht="15.75">
      <c r="A36" s="78"/>
      <c r="B36" s="10"/>
      <c r="C36" s="10"/>
      <c r="D36" s="10"/>
      <c r="E36" s="74"/>
      <c r="F36" s="10"/>
      <c r="G36" s="10"/>
      <c r="H36" s="10"/>
      <c r="I36" s="79"/>
      <c r="J36" s="213"/>
      <c r="K36" s="215" t="s">
        <v>228</v>
      </c>
      <c r="L36" s="214">
        <f>②児童名簿!L19</f>
        <v>7</v>
      </c>
      <c r="M36" s="216">
        <f>IF(B20="〇",ROUNDDOWN(L36/5,1),ROUNDDOWN(L36/6,1))</f>
        <v>1.4</v>
      </c>
      <c r="N36" s="213" t="s">
        <v>67</v>
      </c>
      <c r="O36" s="213"/>
      <c r="P36" s="213"/>
      <c r="Q36" s="213"/>
      <c r="R36" s="213"/>
      <c r="S36" s="213"/>
    </row>
    <row r="37" spans="1:19" s="4" customFormat="1" ht="16.5" thickBot="1">
      <c r="A37" s="80"/>
      <c r="B37" s="81"/>
      <c r="C37" s="81"/>
      <c r="D37" s="81"/>
      <c r="E37" s="86"/>
      <c r="F37" s="81"/>
      <c r="G37" s="81"/>
      <c r="H37" s="81"/>
      <c r="I37" s="85"/>
      <c r="K37" s="116" t="s">
        <v>2</v>
      </c>
      <c r="L37" s="11">
        <f>②児童名簿!M19</f>
        <v>5</v>
      </c>
      <c r="M37" s="61">
        <f>ROUNDDOWN(L37/6,1)</f>
        <v>0.8</v>
      </c>
      <c r="N37" s="4" t="s">
        <v>67</v>
      </c>
    </row>
    <row r="38" spans="1:19" s="4" customFormat="1" ht="15.75">
      <c r="A38" s="148"/>
      <c r="B38" s="10"/>
      <c r="C38" s="10"/>
      <c r="D38" s="10"/>
      <c r="E38" s="74"/>
      <c r="F38" s="10"/>
      <c r="G38" s="10"/>
      <c r="H38" s="10"/>
      <c r="I38" s="74"/>
      <c r="K38" s="116" t="s">
        <v>46</v>
      </c>
      <c r="L38" s="11">
        <f>②児童名簿!N19</f>
        <v>0</v>
      </c>
      <c r="M38" s="61">
        <f>ROUNDDOWN(L38/20,1)</f>
        <v>0</v>
      </c>
      <c r="N38" s="4" t="s">
        <v>67</v>
      </c>
    </row>
    <row r="39" spans="1:19" s="4" customFormat="1" ht="15.75">
      <c r="A39" s="74"/>
      <c r="B39" s="10"/>
      <c r="C39" s="10"/>
      <c r="D39" s="10"/>
      <c r="E39" s="74"/>
      <c r="F39" s="10"/>
      <c r="G39" s="10"/>
      <c r="H39" s="10"/>
      <c r="I39" s="74"/>
      <c r="K39" s="116" t="s">
        <v>50</v>
      </c>
      <c r="L39" s="11">
        <f>②児童名簿!O19+②児童名簿!P19</f>
        <v>0</v>
      </c>
      <c r="M39" s="61">
        <f>ROUNDDOWN(L39/30,1)</f>
        <v>0</v>
      </c>
      <c r="N39" s="4" t="s">
        <v>67</v>
      </c>
    </row>
    <row r="40" spans="1:19" s="4" customFormat="1" ht="15.75">
      <c r="A40" s="74"/>
      <c r="B40" s="10"/>
      <c r="C40" s="10"/>
      <c r="D40" s="10"/>
      <c r="E40" s="74"/>
      <c r="F40" s="10"/>
      <c r="G40" s="10"/>
      <c r="H40" s="10"/>
      <c r="I40" s="74"/>
      <c r="J40" s="74"/>
      <c r="K40" s="136" t="s">
        <v>170</v>
      </c>
      <c r="L40" s="137"/>
      <c r="M40" s="137"/>
      <c r="N40" s="131"/>
    </row>
    <row r="41" spans="1:19" s="4" customFormat="1" ht="15.75">
      <c r="A41" s="74"/>
      <c r="B41" s="10"/>
      <c r="C41" s="10"/>
      <c r="D41" s="10"/>
      <c r="E41" s="74"/>
      <c r="F41" s="10"/>
      <c r="G41" s="10"/>
      <c r="H41" s="10"/>
      <c r="I41" s="74"/>
      <c r="J41" s="74"/>
      <c r="K41" s="116"/>
      <c r="L41" s="116" t="s">
        <v>47</v>
      </c>
      <c r="M41" s="116" t="s">
        <v>48</v>
      </c>
    </row>
    <row r="42" spans="1:19" s="4" customFormat="1" ht="15.75">
      <c r="A42" s="74"/>
      <c r="B42" s="10"/>
      <c r="C42" s="10"/>
      <c r="D42" s="147" t="s">
        <v>165</v>
      </c>
      <c r="E42" s="74"/>
      <c r="F42" s="10"/>
      <c r="G42" s="10"/>
      <c r="H42" s="10"/>
      <c r="I42" s="74"/>
      <c r="J42" s="74"/>
      <c r="K42" s="116" t="s">
        <v>153</v>
      </c>
      <c r="L42" s="11">
        <f>④加算!$M$24</f>
        <v>1</v>
      </c>
      <c r="M42" s="65">
        <f>ROUNDDOWN(L42/2,1)</f>
        <v>0.5</v>
      </c>
      <c r="N42" s="4" t="s">
        <v>67</v>
      </c>
    </row>
    <row r="43" spans="1:19" s="4" customFormat="1" ht="15.75" customHeight="1">
      <c r="A43" s="74"/>
      <c r="B43" s="10"/>
      <c r="C43" s="10"/>
      <c r="D43" s="256" t="s">
        <v>150</v>
      </c>
      <c r="E43" s="257"/>
      <c r="F43" s="257"/>
      <c r="G43" s="316"/>
      <c r="H43" s="146" t="str">
        <f>IF(③職員名簿!W11=1,"OK","NG")</f>
        <v>OK</v>
      </c>
      <c r="I43" s="74"/>
      <c r="J43" s="74"/>
      <c r="L43" s="62" t="s">
        <v>3</v>
      </c>
      <c r="M43" s="133">
        <f>SUM(M35:M39,M42)</f>
        <v>3</v>
      </c>
      <c r="N43" s="4" t="s">
        <v>67</v>
      </c>
    </row>
    <row r="44" spans="1:19" s="4" customFormat="1" ht="15.75" customHeight="1">
      <c r="A44" s="74"/>
      <c r="B44" s="10"/>
      <c r="C44" s="10"/>
      <c r="D44" s="256" t="s">
        <v>151</v>
      </c>
      <c r="E44" s="257"/>
      <c r="F44" s="257"/>
      <c r="G44" s="316"/>
      <c r="H44" s="146" t="str">
        <f>IF(③職員名簿!W14=1,"OK","NG")</f>
        <v>OK</v>
      </c>
      <c r="I44" s="74"/>
      <c r="J44" s="74"/>
    </row>
    <row r="45" spans="1:19" s="4" customFormat="1" ht="15.75" customHeight="1">
      <c r="A45" s="74"/>
      <c r="B45" s="10"/>
      <c r="C45" s="149">
        <f>IF(COUNTIF(H43:H45,"OK")=3,1,0)</f>
        <v>1</v>
      </c>
      <c r="D45" s="256" t="s">
        <v>152</v>
      </c>
      <c r="E45" s="257"/>
      <c r="F45" s="257"/>
      <c r="G45" s="316"/>
      <c r="H45" s="146" t="str">
        <f>IF(③職員名簿!W15=1,"OK","NG")</f>
        <v>OK</v>
      </c>
      <c r="I45" s="74"/>
      <c r="J45" s="74"/>
      <c r="K45" s="319" t="s">
        <v>171</v>
      </c>
      <c r="L45" s="320"/>
      <c r="M45" s="133">
        <f>ROUND(M43+1,0)</f>
        <v>4</v>
      </c>
      <c r="N45" s="4" t="s">
        <v>67</v>
      </c>
    </row>
    <row r="46" spans="1:19" s="4" customFormat="1" ht="16.5" thickBot="1">
      <c r="A46" s="74"/>
      <c r="B46" s="10"/>
      <c r="C46" s="10"/>
      <c r="D46" s="10"/>
      <c r="E46" s="74"/>
      <c r="F46" s="10"/>
      <c r="G46" s="10"/>
      <c r="H46" s="10"/>
      <c r="I46" s="74"/>
      <c r="J46" s="74"/>
    </row>
    <row r="47" spans="1:19" s="4" customFormat="1" ht="18.75" customHeight="1" thickBot="1">
      <c r="A47" s="74"/>
      <c r="B47" s="10"/>
      <c r="C47" s="10"/>
      <c r="D47" s="10"/>
      <c r="E47" s="74"/>
      <c r="F47" s="10"/>
      <c r="G47" s="10"/>
      <c r="H47" s="10"/>
      <c r="J47" s="74"/>
      <c r="K47" s="308" t="s">
        <v>121</v>
      </c>
      <c r="L47" s="256"/>
      <c r="M47" s="127">
        <f>M45-M19</f>
        <v>0</v>
      </c>
      <c r="N47" s="4" t="s">
        <v>67</v>
      </c>
      <c r="O47" s="67">
        <f>O28-M47</f>
        <v>2.5</v>
      </c>
      <c r="P47" s="4" t="s">
        <v>67</v>
      </c>
    </row>
    <row r="48" spans="1:19" s="4" customFormat="1" ht="15.75">
      <c r="B48" s="59"/>
      <c r="C48" s="59"/>
      <c r="D48" s="59"/>
      <c r="F48" s="59"/>
      <c r="G48" s="59"/>
      <c r="H48" s="59"/>
      <c r="J48" s="74"/>
      <c r="K48" s="134" t="s">
        <v>155</v>
      </c>
    </row>
    <row r="49" spans="1:20" s="4" customFormat="1" ht="15.75">
      <c r="B49" s="59"/>
      <c r="C49" s="59"/>
      <c r="D49" s="59"/>
      <c r="F49" s="59"/>
      <c r="G49" s="59"/>
      <c r="H49" s="59"/>
      <c r="K49" s="307" t="str">
        <f>IF(L42=0,"",IF($O$47&gt;=0,IF($N$28=1,"障害児保育加算　適用OK","障害児保育加算　適用不可（基本分）"),"障害児保育加算　適用不可（職員数）"))</f>
        <v>障害児保育加算　適用OK</v>
      </c>
      <c r="L49" s="307"/>
      <c r="M49" s="307"/>
    </row>
    <row r="50" spans="1:20">
      <c r="A50" s="4"/>
      <c r="B50" s="59"/>
      <c r="C50" s="59"/>
      <c r="D50" s="59"/>
      <c r="E50" s="4"/>
      <c r="F50" s="59"/>
      <c r="G50" s="59"/>
      <c r="H50" s="59"/>
      <c r="I50" s="4"/>
      <c r="J50" s="4"/>
      <c r="K50" s="4"/>
      <c r="L50" s="4"/>
      <c r="M50" s="4"/>
      <c r="N50" s="4"/>
      <c r="O50" s="4"/>
      <c r="P50" s="4"/>
      <c r="Q50" s="4"/>
      <c r="R50" s="4"/>
      <c r="S50" s="4"/>
      <c r="T50" s="4"/>
    </row>
    <row r="51" spans="1:20">
      <c r="B51" s="59"/>
      <c r="C51" s="59"/>
      <c r="D51" s="59"/>
      <c r="E51" s="4"/>
      <c r="F51" s="59"/>
      <c r="G51" s="59"/>
      <c r="H51" s="59"/>
      <c r="K51" s="4"/>
      <c r="L51" s="4"/>
      <c r="M51" s="4"/>
      <c r="N51" s="4"/>
      <c r="O51" s="4"/>
      <c r="P51" s="4"/>
      <c r="Q51" s="4"/>
      <c r="R51" s="4"/>
      <c r="S51" s="4"/>
    </row>
    <row r="52" spans="1:20">
      <c r="B52" s="59"/>
      <c r="C52" s="59"/>
      <c r="D52" s="59"/>
      <c r="E52" s="4"/>
      <c r="F52" s="59"/>
      <c r="G52" s="59"/>
      <c r="H52" s="59"/>
      <c r="K52" s="4"/>
      <c r="L52" s="4"/>
      <c r="M52" s="4"/>
      <c r="N52" s="4"/>
      <c r="O52" s="4"/>
      <c r="P52" s="4"/>
    </row>
    <row r="53" spans="1:20">
      <c r="B53" s="59"/>
      <c r="C53" s="59"/>
      <c r="D53" s="59"/>
      <c r="E53" s="4"/>
      <c r="F53" s="59"/>
      <c r="G53" s="59"/>
      <c r="H53" s="59"/>
      <c r="K53" s="4"/>
      <c r="L53" s="4"/>
      <c r="M53" s="4"/>
      <c r="N53" s="4"/>
      <c r="O53" s="4"/>
      <c r="P53" s="4"/>
    </row>
    <row r="54" spans="1:20">
      <c r="B54" s="59"/>
      <c r="C54" s="59"/>
      <c r="D54" s="59"/>
      <c r="E54" s="4"/>
      <c r="F54" s="59"/>
      <c r="G54" s="59"/>
      <c r="H54" s="59"/>
      <c r="K54" s="4"/>
      <c r="L54" s="4"/>
      <c r="M54" s="4"/>
      <c r="N54" s="4"/>
      <c r="O54" s="4"/>
      <c r="P54" s="4"/>
    </row>
    <row r="55" spans="1:20">
      <c r="B55" s="59"/>
      <c r="C55" s="59"/>
      <c r="D55" s="59"/>
      <c r="E55" s="4"/>
      <c r="F55" s="59"/>
      <c r="G55" s="59"/>
      <c r="H55" s="59"/>
      <c r="K55" s="4"/>
      <c r="L55" s="4"/>
      <c r="M55" s="4"/>
      <c r="N55" s="4"/>
      <c r="O55" s="4"/>
      <c r="P55" s="4"/>
    </row>
    <row r="56" spans="1:20">
      <c r="K56" s="4"/>
      <c r="L56" s="4"/>
      <c r="M56" s="4"/>
      <c r="N56" s="4"/>
      <c r="O56" s="4"/>
      <c r="P56" s="4"/>
    </row>
    <row r="57" spans="1:20">
      <c r="K57" s="4"/>
      <c r="L57" s="4"/>
      <c r="M57" s="4"/>
      <c r="N57" s="4"/>
      <c r="O57" s="4"/>
      <c r="P57" s="4"/>
    </row>
    <row r="58" spans="1:20">
      <c r="K58" s="4"/>
      <c r="L58" s="4"/>
      <c r="M58" s="4"/>
      <c r="N58" s="4"/>
      <c r="O58" s="4"/>
      <c r="P58" s="4"/>
    </row>
    <row r="59" spans="1:20">
      <c r="K59" s="4"/>
      <c r="L59" s="4"/>
      <c r="M59" s="4"/>
      <c r="N59" s="4"/>
      <c r="O59" s="4"/>
      <c r="P59" s="4"/>
    </row>
    <row r="60" spans="1:20">
      <c r="K60" s="4"/>
      <c r="L60" s="4"/>
      <c r="M60" s="4"/>
      <c r="N60" s="4"/>
      <c r="O60" s="4"/>
      <c r="P60" s="4"/>
    </row>
    <row r="61" spans="1:20">
      <c r="K61" s="4"/>
      <c r="L61" s="4"/>
      <c r="M61" s="4"/>
      <c r="N61" s="4"/>
      <c r="O61" s="4"/>
      <c r="P61" s="4"/>
    </row>
    <row r="62" spans="1:20">
      <c r="K62" s="4"/>
      <c r="L62" s="4"/>
      <c r="M62" s="4"/>
      <c r="N62" s="4"/>
      <c r="P62" s="4"/>
    </row>
    <row r="63" spans="1:20">
      <c r="K63" s="4"/>
      <c r="L63" s="4"/>
      <c r="M63" s="4"/>
      <c r="N63" s="4"/>
      <c r="P63" s="4"/>
    </row>
    <row r="64" spans="1:20">
      <c r="K64" s="4"/>
      <c r="L64" s="4"/>
      <c r="M64" s="4"/>
      <c r="N64" s="4"/>
    </row>
    <row r="65" spans="11:14">
      <c r="K65" s="4"/>
      <c r="L65" s="4"/>
      <c r="M65" s="4"/>
      <c r="N65" s="4"/>
    </row>
    <row r="66" spans="11:14">
      <c r="N66" s="4"/>
    </row>
  </sheetData>
  <mergeCells count="28">
    <mergeCell ref="K49:M49"/>
    <mergeCell ref="D11:H11"/>
    <mergeCell ref="D12:H12"/>
    <mergeCell ref="D13:H13"/>
    <mergeCell ref="K28:L28"/>
    <mergeCell ref="K21:L21"/>
    <mergeCell ref="A17:I17"/>
    <mergeCell ref="K25:L25"/>
    <mergeCell ref="K24:M24"/>
    <mergeCell ref="D45:G45"/>
    <mergeCell ref="K29:L30"/>
    <mergeCell ref="K45:L45"/>
    <mergeCell ref="K20:L20"/>
    <mergeCell ref="D43:G43"/>
    <mergeCell ref="D44:G44"/>
    <mergeCell ref="K47:L47"/>
    <mergeCell ref="D14:H14"/>
    <mergeCell ref="B1:N1"/>
    <mergeCell ref="A7:I7"/>
    <mergeCell ref="K8:M8"/>
    <mergeCell ref="B3:F3"/>
    <mergeCell ref="N3:O3"/>
    <mergeCell ref="K10:M10"/>
    <mergeCell ref="K7:O7"/>
    <mergeCell ref="N4:O4"/>
    <mergeCell ref="B4:K4"/>
    <mergeCell ref="D9:H9"/>
    <mergeCell ref="D10:H10"/>
  </mergeCells>
  <phoneticPr fontId="1"/>
  <pageMargins left="0.51181102362204722" right="0.51181102362204722" top="0.55118110236220474" bottom="0.55118110236220474" header="0.31496062992125984" footer="0.31496062992125984"/>
  <pageSetup paperSize="9" scale="96"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253</v>
      </c>
    </row>
    <row r="21" spans="1:13">
      <c r="A21" s="99" t="s">
        <v>81</v>
      </c>
      <c r="B21" s="321" t="s">
        <v>161</v>
      </c>
      <c r="C21" s="321"/>
      <c r="D21" s="321"/>
      <c r="E21" s="321"/>
      <c r="F21" s="321"/>
      <c r="G21" s="321"/>
      <c r="H21" s="321"/>
      <c r="I21" s="321"/>
      <c r="J21" s="321"/>
      <c r="K21" s="321"/>
      <c r="L21" s="321"/>
      <c r="M21" s="321"/>
    </row>
    <row r="22" spans="1:13" ht="18.75" customHeight="1">
      <c r="A22" s="100" t="s">
        <v>82</v>
      </c>
      <c r="B22" s="321" t="s">
        <v>163</v>
      </c>
      <c r="C22" s="321"/>
      <c r="D22" s="321"/>
      <c r="E22" s="321"/>
      <c r="F22" s="321"/>
      <c r="G22" s="321"/>
      <c r="H22" s="321"/>
      <c r="I22" s="321"/>
      <c r="J22" s="321"/>
      <c r="K22" s="321"/>
      <c r="L22" s="321"/>
      <c r="M22" s="321"/>
    </row>
    <row r="23" spans="1:13" ht="18.75" customHeight="1">
      <c r="A23" s="100" t="s">
        <v>83</v>
      </c>
      <c r="B23" s="322" t="s">
        <v>110</v>
      </c>
      <c r="C23" s="322"/>
      <c r="D23" s="322"/>
      <c r="E23" s="322"/>
      <c r="F23" s="322"/>
      <c r="G23" s="322"/>
      <c r="H23" s="322"/>
      <c r="I23" s="322"/>
      <c r="J23" s="322"/>
      <c r="K23" s="322"/>
      <c r="L23" s="322"/>
      <c r="M23" s="322"/>
    </row>
    <row r="24" spans="1:13">
      <c r="A24" s="100" t="s">
        <v>162</v>
      </c>
      <c r="B24" s="143" t="s">
        <v>111</v>
      </c>
      <c r="C24" s="113"/>
      <c r="D24" s="113"/>
      <c r="E24" s="113"/>
      <c r="F24" s="113"/>
      <c r="G24" s="113"/>
      <c r="H24" s="113"/>
      <c r="I24" s="113"/>
      <c r="J24" s="113"/>
      <c r="K24" s="113"/>
      <c r="L24" s="113"/>
      <c r="M24" s="113"/>
    </row>
    <row r="25" spans="1:13">
      <c r="A25" s="100"/>
      <c r="B25" s="113"/>
      <c r="C25" s="113"/>
      <c r="D25" s="113"/>
      <c r="E25" s="113"/>
      <c r="F25" s="113"/>
      <c r="G25" s="113"/>
      <c r="H25" s="113"/>
      <c r="I25" s="113"/>
      <c r="J25" s="113"/>
      <c r="K25" s="113"/>
      <c r="L25" s="113"/>
      <c r="M25" s="113"/>
    </row>
    <row r="26" spans="1:13">
      <c r="M26" s="101" t="s">
        <v>84</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60"/>
  <sheetViews>
    <sheetView view="pageBreakPreview" zoomScale="55" zoomScaleNormal="55" zoomScaleSheetLayoutView="55" workbookViewId="0">
      <selection activeCell="H36" sqref="H36"/>
    </sheetView>
  </sheetViews>
  <sheetFormatPr defaultRowHeight="18.75"/>
  <cols>
    <col min="17" max="17" width="8.875" customWidth="1"/>
  </cols>
  <sheetData>
    <row r="1" spans="1:13" ht="18.75" customHeight="1">
      <c r="A1" s="323" t="s">
        <v>237</v>
      </c>
      <c r="B1" s="323"/>
      <c r="C1" s="323"/>
      <c r="D1" s="323"/>
      <c r="E1" s="323"/>
      <c r="F1" s="323"/>
      <c r="G1" s="323"/>
      <c r="H1" s="323"/>
      <c r="I1" s="323"/>
      <c r="J1" s="323"/>
      <c r="K1" s="323"/>
      <c r="L1" s="323"/>
      <c r="M1" s="323"/>
    </row>
    <row r="2" spans="1:13" ht="18.75" customHeight="1">
      <c r="A2" s="323"/>
      <c r="B2" s="323"/>
      <c r="C2" s="323"/>
      <c r="D2" s="323"/>
      <c r="E2" s="323"/>
      <c r="F2" s="323"/>
      <c r="G2" s="323"/>
      <c r="H2" s="323"/>
      <c r="I2" s="323"/>
      <c r="J2" s="323"/>
      <c r="K2" s="323"/>
      <c r="L2" s="323"/>
      <c r="M2" s="323"/>
    </row>
    <row r="3" spans="1:13" ht="18.75" customHeight="1">
      <c r="A3" s="117"/>
      <c r="B3" s="117"/>
      <c r="C3" s="117"/>
      <c r="D3" s="117"/>
      <c r="E3" s="117"/>
      <c r="F3" s="117"/>
      <c r="G3" s="117"/>
      <c r="H3" s="117"/>
      <c r="I3" s="117"/>
      <c r="J3" s="117"/>
      <c r="K3" s="117"/>
      <c r="L3" s="117"/>
      <c r="M3" s="117"/>
    </row>
    <row r="37" s="201" customFormat="1"/>
    <row r="38" s="201" customFormat="1"/>
    <row r="39" s="201" customFormat="1"/>
    <row r="40" s="201" customFormat="1"/>
    <row r="41" s="201" customFormat="1"/>
    <row r="55" spans="1:31">
      <c r="A55" t="s">
        <v>160</v>
      </c>
    </row>
    <row r="60" spans="1:31">
      <c r="AE60" s="101" t="s">
        <v>85</v>
      </c>
    </row>
  </sheetData>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0"/>
  <sheetViews>
    <sheetView workbookViewId="0">
      <selection activeCell="D22" sqref="D22"/>
    </sheetView>
  </sheetViews>
  <sheetFormatPr defaultRowHeight="18.75"/>
  <cols>
    <col min="2" max="2" width="10.25" bestFit="1" customWidth="1"/>
    <col min="3" max="3" width="55.625" customWidth="1"/>
  </cols>
  <sheetData>
    <row r="1" spans="1:3" ht="26.25" thickBot="1">
      <c r="A1" s="324">
        <v>1</v>
      </c>
      <c r="B1" s="325"/>
      <c r="C1" s="158"/>
    </row>
    <row r="2" spans="1:3">
      <c r="A2" s="44" t="s">
        <v>91</v>
      </c>
      <c r="B2" s="44" t="s">
        <v>92</v>
      </c>
      <c r="C2" s="44" t="s">
        <v>93</v>
      </c>
    </row>
    <row r="3" spans="1:3" hidden="1">
      <c r="A3" s="172">
        <v>0.1</v>
      </c>
      <c r="B3" s="107">
        <v>44167</v>
      </c>
      <c r="C3" s="44" t="s">
        <v>169</v>
      </c>
    </row>
    <row r="4" spans="1:3" hidden="1">
      <c r="A4" s="172">
        <v>0.11</v>
      </c>
      <c r="B4" s="107">
        <v>44323</v>
      </c>
      <c r="C4" s="44" t="s">
        <v>190</v>
      </c>
    </row>
    <row r="5" spans="1:3" hidden="1">
      <c r="A5" s="172">
        <v>1</v>
      </c>
      <c r="B5" s="107">
        <v>44371</v>
      </c>
      <c r="C5" s="44" t="s">
        <v>203</v>
      </c>
    </row>
    <row r="6" spans="1:3" hidden="1">
      <c r="A6" s="172">
        <v>0</v>
      </c>
      <c r="B6" s="107">
        <v>44573</v>
      </c>
      <c r="C6" s="44" t="s">
        <v>192</v>
      </c>
    </row>
    <row r="7" spans="1:3" hidden="1">
      <c r="A7" s="172">
        <v>0.01</v>
      </c>
      <c r="B7" s="107">
        <v>44573</v>
      </c>
      <c r="C7" s="44" t="s">
        <v>199</v>
      </c>
    </row>
    <row r="8" spans="1:3" hidden="1">
      <c r="A8" s="172"/>
      <c r="B8" s="44"/>
      <c r="C8" s="44" t="s">
        <v>200</v>
      </c>
    </row>
    <row r="9" spans="1:3" hidden="1">
      <c r="A9" s="172">
        <v>0.2</v>
      </c>
      <c r="B9" s="107">
        <v>44649</v>
      </c>
      <c r="C9" s="44" t="s">
        <v>202</v>
      </c>
    </row>
    <row r="10" spans="1:3" hidden="1">
      <c r="A10" s="172">
        <v>0.99</v>
      </c>
      <c r="B10" s="107">
        <v>44656</v>
      </c>
      <c r="C10" s="44" t="s">
        <v>204</v>
      </c>
    </row>
    <row r="11" spans="1:3" hidden="1">
      <c r="A11" s="172"/>
      <c r="B11" s="107">
        <v>45096</v>
      </c>
      <c r="C11" s="189" t="s">
        <v>210</v>
      </c>
    </row>
    <row r="12" spans="1:3" hidden="1">
      <c r="A12" s="172"/>
      <c r="B12" s="107"/>
      <c r="C12" s="44"/>
    </row>
    <row r="13" spans="1:3" hidden="1">
      <c r="A13" s="172">
        <v>0.99</v>
      </c>
      <c r="B13" s="107">
        <v>45012</v>
      </c>
      <c r="C13" s="44" t="s">
        <v>211</v>
      </c>
    </row>
    <row r="14" spans="1:3" ht="18" hidden="1" customHeight="1">
      <c r="A14" s="172"/>
      <c r="B14" s="107"/>
      <c r="C14" s="44"/>
    </row>
    <row r="15" spans="1:3">
      <c r="A15" s="172">
        <v>0.99</v>
      </c>
      <c r="B15" s="107">
        <v>45740</v>
      </c>
      <c r="C15" s="212" t="s">
        <v>229</v>
      </c>
    </row>
    <row r="16" spans="1:3" s="201" customFormat="1">
      <c r="A16" s="172"/>
      <c r="B16" s="107"/>
      <c r="C16" s="44" t="s">
        <v>230</v>
      </c>
    </row>
    <row r="17" spans="1:3" s="201" customFormat="1">
      <c r="A17" s="172"/>
      <c r="B17" s="107"/>
      <c r="C17" s="212"/>
    </row>
    <row r="18" spans="1:3" s="201" customFormat="1">
      <c r="A18" s="172">
        <v>1</v>
      </c>
      <c r="B18" s="107">
        <v>45839</v>
      </c>
      <c r="C18" s="212" t="s">
        <v>232</v>
      </c>
    </row>
    <row r="19" spans="1:3" s="201" customFormat="1">
      <c r="A19" s="172"/>
      <c r="B19" s="107"/>
      <c r="C19" s="212" t="s">
        <v>231</v>
      </c>
    </row>
    <row r="20" spans="1:3">
      <c r="A20" s="172"/>
      <c r="B20" s="107"/>
      <c r="C20" s="44"/>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2025-07-28T02:15:45Z</cp:lastPrinted>
  <dcterms:created xsi:type="dcterms:W3CDTF">2020-01-20T06:10:49Z</dcterms:created>
  <dcterms:modified xsi:type="dcterms:W3CDTF">2025-08-03T23:53:21Z</dcterms:modified>
</cp:coreProperties>
</file>