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①基本情報!$A$1:$H$27</definedName>
    <definedName name="_xlnm.Print_Area" localSheetId="1">②児童名簿!$A$1:$G$207</definedName>
    <definedName name="_xlnm.Print_Area" localSheetId="2">③職員名簿!$A$1:$L$91</definedName>
    <definedName name="_xlnm.Print_Area" localSheetId="3">④加算!$A$1:$I$38</definedName>
    <definedName name="_xlnm.Print_Area" localSheetId="4">⑤集計表!$A$1:$P$46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8" i="2" l="1"/>
  <c r="J29" i="2"/>
  <c r="J30" i="2"/>
  <c r="J31" i="2"/>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M1" i="7" l="1"/>
  <c r="AB1" i="8"/>
  <c r="O2" i="4"/>
  <c r="I2" i="3"/>
  <c r="L2" i="2"/>
  <c r="G2" i="1"/>
  <c r="H2" i="5"/>
  <c r="H27" i="5" l="1"/>
  <c r="O2" i="3" l="1"/>
  <c r="N2" i="3" s="1"/>
  <c r="B29" i="4" l="1"/>
  <c r="P8" i="3" l="1"/>
  <c r="L2" i="5"/>
  <c r="P9" i="3" l="1"/>
  <c r="O8" i="3"/>
  <c r="L2" i="3"/>
  <c r="K2" i="3" s="1"/>
  <c r="C10" i="3" s="1"/>
  <c r="N4" i="4" l="1"/>
  <c r="L4" i="5"/>
  <c r="K16" i="4"/>
  <c r="B13" i="4"/>
  <c r="B12" i="4"/>
  <c r="O10" i="3" l="1"/>
  <c r="N10" i="3" s="1"/>
  <c r="L10" i="3" s="1"/>
  <c r="K10" i="3" s="1"/>
  <c r="H31" i="3" s="1"/>
  <c r="F21" i="4"/>
  <c r="F43" i="4" l="1"/>
  <c r="J37" i="2" l="1"/>
  <c r="J36" i="2"/>
  <c r="J35" i="2"/>
  <c r="J34" i="2"/>
  <c r="J33" i="2"/>
  <c r="F12" i="4" l="1"/>
  <c r="F11" i="4"/>
  <c r="F9" i="4"/>
  <c r="B11" i="4"/>
  <c r="B10" i="4"/>
  <c r="B9" i="4"/>
  <c r="F31" i="4"/>
  <c r="F44" i="4"/>
  <c r="F42" i="4"/>
  <c r="F41" i="4"/>
  <c r="F40" i="4"/>
  <c r="F39" i="4"/>
  <c r="F38" i="4"/>
  <c r="F37" i="4"/>
  <c r="F36" i="4"/>
  <c r="F35" i="4"/>
  <c r="F34" i="4"/>
  <c r="F33" i="4"/>
  <c r="F32" i="4"/>
  <c r="F29" i="4"/>
  <c r="F28" i="4"/>
  <c r="F26" i="4"/>
  <c r="F25" i="4"/>
  <c r="F24" i="4"/>
  <c r="F23" i="4"/>
  <c r="F22" i="4"/>
  <c r="F20" i="4"/>
  <c r="F19" i="4"/>
  <c r="B19" i="4"/>
  <c r="B33" i="4"/>
  <c r="B32" i="4"/>
  <c r="B31" i="4"/>
  <c r="B30" i="4"/>
  <c r="B27" i="4"/>
  <c r="B28" i="4"/>
  <c r="B25" i="4"/>
  <c r="M40" i="4" s="1"/>
  <c r="B26" i="4"/>
  <c r="B24" i="4"/>
  <c r="B23" i="4"/>
  <c r="B22" i="4"/>
  <c r="B21" i="4"/>
  <c r="M35" i="4" s="1"/>
  <c r="B20" i="4"/>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8" i="1"/>
  <c r="L11" i="1" s="1"/>
  <c r="P11" i="1" s="1"/>
  <c r="J91" i="2"/>
  <c r="J87" i="2"/>
  <c r="J88" i="2"/>
  <c r="J89" i="2"/>
  <c r="J90" i="2"/>
  <c r="J76" i="2"/>
  <c r="J77" i="2"/>
  <c r="J78" i="2"/>
  <c r="J79" i="2"/>
  <c r="J80" i="2"/>
  <c r="J81" i="2"/>
  <c r="J82" i="2"/>
  <c r="J83" i="2"/>
  <c r="J84" i="2"/>
  <c r="J85" i="2"/>
  <c r="J86" i="2"/>
  <c r="J75" i="2"/>
  <c r="J74" i="2"/>
  <c r="J73" i="2"/>
  <c r="J72" i="2"/>
  <c r="J71" i="2"/>
  <c r="J70" i="2"/>
  <c r="J69" i="2"/>
  <c r="J68" i="2"/>
  <c r="J67" i="2"/>
  <c r="J66" i="2"/>
  <c r="J65" i="2"/>
  <c r="J64" i="2"/>
  <c r="U13" i="2"/>
  <c r="M2" i="5"/>
  <c r="J39" i="2" l="1"/>
  <c r="J22" i="2"/>
  <c r="M23" i="4"/>
  <c r="N9" i="1"/>
  <c r="L12" i="1"/>
  <c r="J62" i="2"/>
  <c r="J46" i="2"/>
  <c r="J61" i="2"/>
  <c r="J57" i="2"/>
  <c r="J53" i="2"/>
  <c r="J49" i="2"/>
  <c r="J45" i="2"/>
  <c r="J48" i="2"/>
  <c r="J63" i="2"/>
  <c r="J55" i="2"/>
  <c r="J51" i="2"/>
  <c r="J58" i="2"/>
  <c r="J50" i="2"/>
  <c r="J60" i="2"/>
  <c r="J56" i="2"/>
  <c r="J52" i="2"/>
  <c r="J44" i="2"/>
  <c r="J59" i="2"/>
  <c r="J47" i="2"/>
  <c r="J54" i="2"/>
  <c r="D14" i="4"/>
  <c r="C14" i="4" s="1"/>
  <c r="O10" i="1"/>
  <c r="O9" i="1"/>
  <c r="J12" i="1"/>
  <c r="L9" i="1"/>
  <c r="M10" i="1"/>
  <c r="P10" i="1" s="1"/>
  <c r="K12" i="1"/>
  <c r="M9" i="1"/>
  <c r="N10" i="1"/>
  <c r="J21" i="2"/>
  <c r="J24" i="2"/>
  <c r="J43" i="2"/>
  <c r="J18" i="2"/>
  <c r="J25" i="2"/>
  <c r="J27" i="2"/>
  <c r="J26" i="2"/>
  <c r="I19" i="2"/>
  <c r="J19" i="2" s="1"/>
  <c r="J16" i="2"/>
  <c r="J23" i="2"/>
  <c r="I17" i="2"/>
  <c r="J17" i="2" s="1"/>
  <c r="J20" i="2"/>
  <c r="J42" i="2"/>
  <c r="B4" i="4"/>
  <c r="V46" i="2" l="1"/>
  <c r="W47" i="2"/>
  <c r="X47" i="2" s="1"/>
  <c r="V47" i="2"/>
  <c r="V44" i="2"/>
  <c r="V43" i="2"/>
  <c r="W44" i="2"/>
  <c r="X44" i="2" s="1"/>
  <c r="J13" i="1"/>
  <c r="L12" i="4" s="1"/>
  <c r="M12" i="4" s="1"/>
  <c r="P12" i="1"/>
  <c r="N13" i="1"/>
  <c r="O13" i="1"/>
  <c r="P9" i="1"/>
  <c r="L13" i="1"/>
  <c r="K13" i="1"/>
  <c r="M13" i="1"/>
  <c r="A3" i="3"/>
  <c r="A6" i="3"/>
  <c r="W43" i="2" l="1"/>
  <c r="D7" i="2"/>
  <c r="Y44" i="2"/>
  <c r="J7" i="2" s="1"/>
  <c r="C7" i="2"/>
  <c r="C6" i="2"/>
  <c r="Y47" i="2"/>
  <c r="J6" i="2" s="1"/>
  <c r="D6" i="2"/>
  <c r="W46" i="2"/>
  <c r="L15" i="4"/>
  <c r="M15" i="4" s="1"/>
  <c r="K8" i="4"/>
  <c r="L13" i="4"/>
  <c r="M13" i="4" s="1"/>
  <c r="O8" i="4"/>
  <c r="P13" i="1"/>
  <c r="L14" i="4"/>
  <c r="H13" i="5"/>
  <c r="F13" i="4" s="1"/>
  <c r="H10" i="5"/>
  <c r="F10" i="4" s="1"/>
  <c r="M14" i="4" l="1"/>
  <c r="M16" i="4" s="1"/>
  <c r="L3" i="5"/>
  <c r="O11" i="3" s="1"/>
  <c r="N11" i="3" s="1"/>
  <c r="L11" i="3" s="1"/>
  <c r="K11" i="3" s="1"/>
  <c r="H30" i="3" s="1"/>
  <c r="F4" i="1"/>
  <c r="I4" i="2"/>
  <c r="A4" i="2"/>
  <c r="A4" i="1"/>
  <c r="M3" i="5" l="1"/>
  <c r="B19" i="2" s="1"/>
  <c r="M18" i="4"/>
  <c r="O9" i="4" s="1"/>
  <c r="H14" i="4"/>
  <c r="G14" i="4" s="1"/>
  <c r="G20" i="5"/>
  <c r="F20" i="5"/>
  <c r="E20" i="5"/>
  <c r="D20" i="5"/>
  <c r="C20" i="5"/>
  <c r="B20" i="5"/>
  <c r="H19" i="5"/>
  <c r="H18" i="5"/>
  <c r="H17" i="5"/>
  <c r="O3" i="3" s="1"/>
  <c r="B18" i="2" l="1"/>
  <c r="O18" i="4"/>
  <c r="K26" i="4"/>
  <c r="M27" i="4"/>
  <c r="M28" i="4" s="1"/>
  <c r="B21" i="2"/>
  <c r="M18" i="3"/>
  <c r="Q9" i="1"/>
  <c r="Q10" i="1"/>
  <c r="H20" i="5"/>
  <c r="O9" i="3" s="1"/>
  <c r="N9" i="3" s="1"/>
  <c r="L9" i="3" s="1"/>
  <c r="K9" i="3" s="1"/>
  <c r="H22" i="3" s="1"/>
  <c r="M20" i="4" l="1"/>
  <c r="O4" i="3"/>
  <c r="O5" i="3"/>
  <c r="O24" i="4"/>
  <c r="O27" i="4" s="1"/>
  <c r="O30" i="4" s="1"/>
  <c r="O35" i="4" s="1"/>
  <c r="P3" i="3"/>
  <c r="L18" i="3"/>
  <c r="M38" i="4" s="1"/>
  <c r="L39" i="4" s="1"/>
  <c r="K37" i="4"/>
  <c r="Q35" i="4" l="1"/>
  <c r="Q36" i="4" s="1"/>
  <c r="Q37" i="4" s="1"/>
  <c r="M33" i="4"/>
  <c r="L13" i="3" s="1"/>
  <c r="K13" i="3" s="1"/>
  <c r="O6" i="3"/>
  <c r="O7" i="3"/>
  <c r="O37" i="4" l="1"/>
  <c r="Q7" i="3"/>
  <c r="N7" i="3" s="1"/>
  <c r="L7" i="3" s="1"/>
  <c r="K7" i="3" s="1"/>
  <c r="D15" i="3" s="1"/>
  <c r="Q3" i="3"/>
  <c r="N3" i="3" s="1"/>
  <c r="L3" i="3" s="1"/>
  <c r="K3" i="3" s="1"/>
  <c r="C11" i="3" s="1"/>
  <c r="Q8" i="3"/>
  <c r="N8" i="3" s="1"/>
  <c r="L8" i="3" s="1"/>
  <c r="K8" i="3" s="1"/>
  <c r="I21" i="3" s="1"/>
  <c r="Q6" i="3"/>
  <c r="N6" i="3" s="1"/>
  <c r="L6" i="3" s="1"/>
  <c r="K6" i="3" s="1"/>
  <c r="C14"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≪認定こども園　１号≫</t>
        </r>
        <r>
          <rPr>
            <sz val="8"/>
            <color indexed="81"/>
            <rFont val="MS P ゴシック"/>
            <family val="3"/>
            <charset val="128"/>
          </rPr>
          <t xml:space="preserve">
１．主幹保育教諭等の専任化により子育て支援の取組みを実施していない場合（⑰）
（１）調整の適用を受ける施設の要件
以下の要件を満たさない施設に適用する。
（要件）
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幼稚園型一時預かり事業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ⅱ 一般型一時預かり事業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ⅲ 満３歳児に対する教育・保育の提供</t>
        </r>
        <r>
          <rPr>
            <sz val="8"/>
            <color indexed="81"/>
            <rFont val="MS P ゴシック"/>
            <family val="3"/>
            <charset val="128"/>
          </rPr>
          <t xml:space="preserve">（月の初日において満３歳児が１人以上利用している月から年度を通じて当該要件を満たしているものとする。）
</t>
        </r>
        <r>
          <rPr>
            <b/>
            <sz val="8"/>
            <color indexed="81"/>
            <rFont val="MS P ゴシック"/>
            <family val="3"/>
            <charset val="128"/>
          </rPr>
          <t>ⅳ 障害児</t>
        </r>
        <r>
          <rPr>
            <sz val="8"/>
            <color indexed="81"/>
            <rFont val="MS P ゴシック"/>
            <family val="3"/>
            <charset val="128"/>
          </rPr>
          <t>（軽度障害児を含む。）（注）</t>
        </r>
        <r>
          <rPr>
            <b/>
            <sz val="8"/>
            <color indexed="81"/>
            <rFont val="MS P ゴシック"/>
            <family val="3"/>
            <charset val="128"/>
          </rPr>
          <t>に対する教育・保育の提供</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r>
          <rPr>
            <b/>
            <sz val="8"/>
            <color indexed="81"/>
            <rFont val="MS P ゴシック"/>
            <family val="3"/>
            <charset val="128"/>
          </rPr>
          <t>ⅴ 継続的な小学校との連携・接続に係る取組</t>
        </r>
        <r>
          <rPr>
            <sz val="8"/>
            <color indexed="81"/>
            <rFont val="MS P ゴシック"/>
            <family val="3"/>
            <charset val="128"/>
          </rPr>
          <t xml:space="preserve">で以下の全ての要件を満たすもの（年度当初から当該取組を開始する場合は５月において計画により下記の要件を満たしていることをもって４月から当該要件を満たしているものと取り扱う。）
(ｱ) 小学校との連携・接続に関する業務分掌を明確にしていること。
(ｲ) 授業・行事、研究会・研修等の小学校の子ども及び教職員との交流活動を年度を通じて複数回実施していること。
(ｳ) 小学校との接続を見通した教育課程を編成していること（継続的な協議会の開催等により具体的な編成に向けた研究に着手していると認められる場合を含む。）。
</t>
        </r>
        <r>
          <rPr>
            <b/>
            <sz val="8"/>
            <color indexed="81"/>
            <rFont val="MS P ゴシック"/>
            <family val="3"/>
            <charset val="128"/>
          </rPr>
          <t>≪認定こども園　２・３号≫</t>
        </r>
        <r>
          <rPr>
            <sz val="8"/>
            <color indexed="81"/>
            <rFont val="MS P ゴシック"/>
            <family val="3"/>
            <charset val="128"/>
          </rPr>
          <t xml:space="preserve">
４．主幹保育教諭等の専任化により子育て支援の取組みを実施していない場合（⑲）
（１）調整の適用を受ける施設の要件
以下の要件を満たさない施設に適用する。
（要件）
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延長保育事業</t>
        </r>
        <r>
          <rPr>
            <sz val="8"/>
            <color indexed="81"/>
            <rFont val="MS P ゴシック"/>
            <family val="3"/>
            <charset val="128"/>
          </rPr>
          <t xml:space="preserve">（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t>
        </r>
        <r>
          <rPr>
            <b/>
            <sz val="8"/>
            <color indexed="81"/>
            <rFont val="MS P ゴシック"/>
            <family val="3"/>
            <charset val="128"/>
          </rPr>
          <t>ⅱ 一時預かり事業（一般型）</t>
        </r>
        <r>
          <rPr>
            <sz val="8"/>
            <color indexed="81"/>
            <rFont val="MS P ゴシック"/>
            <family val="3"/>
            <charset val="128"/>
          </rPr>
          <t xml:space="preserve">（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8"/>
            <color indexed="81"/>
            <rFont val="MS P ゴシック"/>
            <family val="3"/>
            <charset val="128"/>
          </rPr>
          <t>ⅲ 病児保育事業</t>
        </r>
        <r>
          <rPr>
            <sz val="8"/>
            <color indexed="81"/>
            <rFont val="MS P ゴシック"/>
            <family val="3"/>
            <charset val="128"/>
          </rPr>
          <t xml:space="preserve">（子ども・子育て支援交付金に係る要件に適合するもの及びこれと同等の要件を満たして自主事業として実施しているもの。）
</t>
        </r>
        <r>
          <rPr>
            <b/>
            <sz val="8"/>
            <color indexed="81"/>
            <rFont val="MS P ゴシック"/>
            <family val="3"/>
            <charset val="128"/>
          </rPr>
          <t>ⅳ 乳児が３人以上利用している施設</t>
        </r>
        <r>
          <rPr>
            <sz val="8"/>
            <color indexed="81"/>
            <rFont val="MS P ゴシック"/>
            <family val="3"/>
            <charset val="128"/>
          </rPr>
          <t xml:space="preserve">（月の初日において乳児が３人以上利用している月から年度を通じて当該要件を満たしているものとする。）
</t>
        </r>
        <r>
          <rPr>
            <b/>
            <sz val="8"/>
            <color indexed="81"/>
            <rFont val="MS P ゴシック"/>
            <family val="3"/>
            <charset val="128"/>
          </rPr>
          <t>ⅴ 障害児</t>
        </r>
        <r>
          <rPr>
            <sz val="8"/>
            <color indexed="81"/>
            <rFont val="MS P ゴシック"/>
            <family val="3"/>
            <charset val="128"/>
          </rPr>
          <t>（軽度障害児を含む。）（注）</t>
        </r>
        <r>
          <rPr>
            <b/>
            <sz val="8"/>
            <color indexed="81"/>
            <rFont val="MS P ゴシック"/>
            <family val="3"/>
            <charset val="128"/>
          </rPr>
          <t>が１人以上利用している施設</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B9"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 ref="B16" authorId="0" shapeId="0">
      <text>
        <r>
          <rPr>
            <sz val="9"/>
            <color indexed="81"/>
            <rFont val="MS P ゴシック"/>
            <family val="3"/>
            <charset val="128"/>
          </rPr>
          <t>園長は必ず設置しなければならない</t>
        </r>
      </text>
    </comment>
    <comment ref="B17" authorId="0" shapeId="0">
      <text>
        <r>
          <rPr>
            <sz val="9"/>
            <color indexed="81"/>
            <rFont val="MS P ゴシック"/>
            <family val="3"/>
            <charset val="128"/>
          </rPr>
          <t>副園長の設置は任意、常勤でなければならない</t>
        </r>
      </text>
    </comment>
    <comment ref="B18" authorId="0" shapeId="0">
      <text>
        <r>
          <rPr>
            <sz val="9"/>
            <color indexed="81"/>
            <rFont val="MS P ゴシック"/>
            <family val="3"/>
            <charset val="128"/>
          </rPr>
          <t>常勤または非常勤（80H以上）であること</t>
        </r>
      </text>
    </comment>
    <comment ref="B19" authorId="0" shapeId="0">
      <text>
        <r>
          <rPr>
            <sz val="9"/>
            <color indexed="81"/>
            <rFont val="MS P ゴシック"/>
            <family val="3"/>
            <charset val="128"/>
          </rPr>
          <t>常勤でなければならない</t>
        </r>
      </text>
    </comment>
    <comment ref="B20" authorId="0" shapeId="0">
      <text>
        <r>
          <rPr>
            <sz val="9"/>
            <color indexed="81"/>
            <rFont val="MS P ゴシック"/>
            <family val="3"/>
            <charset val="128"/>
          </rPr>
          <t>常勤または非常勤、無資格可</t>
        </r>
      </text>
    </comment>
    <comment ref="B21" authorId="0" shapeId="0">
      <text>
        <r>
          <rPr>
            <sz val="9"/>
            <color indexed="81"/>
            <rFont val="MS P ゴシック"/>
            <family val="3"/>
            <charset val="128"/>
          </rPr>
          <t>常勤または非常勤、幼稚園教諭免許必須</t>
        </r>
      </text>
    </comment>
    <comment ref="B22"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22" authorId="0" shapeId="0">
      <text>
        <r>
          <rPr>
            <b/>
            <sz val="9"/>
            <color indexed="81"/>
            <rFont val="MS P ゴシック"/>
            <family val="3"/>
            <charset val="128"/>
          </rPr>
          <t>園長兼務の場合は「園長兼務」を選択してください</t>
        </r>
      </text>
    </comment>
    <comment ref="D22" authorId="0" shapeId="0">
      <text>
        <r>
          <rPr>
            <b/>
            <sz val="9"/>
            <color indexed="81"/>
            <rFont val="MS P ゴシック"/>
            <family val="3"/>
            <charset val="128"/>
          </rPr>
          <t>園長兼務の場合は「園長兼務」と入力しください</t>
        </r>
      </text>
    </comment>
    <comment ref="I22" authorId="0" shapeId="0">
      <text>
        <r>
          <rPr>
            <b/>
            <sz val="9"/>
            <color indexed="81"/>
            <rFont val="MS P ゴシック"/>
            <family val="3"/>
            <charset val="128"/>
          </rPr>
          <t>園長兼務の場合は空欄にしてください</t>
        </r>
      </text>
    </comment>
    <comment ref="C23" authorId="0" shapeId="0">
      <text>
        <r>
          <rPr>
            <sz val="9"/>
            <color indexed="81"/>
            <rFont val="MS P ゴシック"/>
            <family val="3"/>
            <charset val="128"/>
          </rPr>
          <t>常勤または非常勤</t>
        </r>
      </text>
    </comment>
    <comment ref="C39"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sharedStrings.xml><?xml version="1.0" encoding="utf-8"?>
<sst xmlns="http://schemas.openxmlformats.org/spreadsheetml/2006/main" count="631" uniqueCount="305">
  <si>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</si>
  <si>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</si>
  <si>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</si>
  <si>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</si>
  <si>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</si>
  <si>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</si>
  <si>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</si>
  <si>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</si>
  <si>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</si>
  <si>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</si>
  <si>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</si>
  <si>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</si>
  <si>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</si>
  <si>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その他</t>
    <rPh sb="2" eb="3">
      <t>タ</t>
    </rPh>
    <phoneticPr fontId="1"/>
  </si>
  <si>
    <t>副主幹保育教諭</t>
    <rPh sb="0" eb="3">
      <t>フクシュカン</t>
    </rPh>
    <rPh sb="3" eb="5">
      <t>ホイク</t>
    </rPh>
    <rPh sb="5" eb="7">
      <t>キョウユ</t>
    </rPh>
    <phoneticPr fontId="1"/>
  </si>
  <si>
    <t>専門リーダー</t>
    <rPh sb="0" eb="2">
      <t>センモン</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</si>
  <si>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</si>
  <si>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</si>
  <si>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</si>
  <si>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</si>
  <si>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</si>
  <si>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</si>
  <si>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</si>
  <si>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</si>
  <si>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</si>
  <si>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</si>
  <si>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</si>
  <si>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</si>
  <si>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</si>
  <si>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</si>
  <si>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</si>
  <si>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</si>
  <si>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</si>
  <si>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</si>
  <si>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</si>
  <si>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</si>
  <si>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</si>
  <si>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</si>
  <si>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</si>
  <si>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</si>
  <si>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</si>
  <si>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</si>
  <si>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</si>
  <si>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</si>
  <si>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</si>
  <si>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</si>
  <si>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</si>
  <si>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</si>
  <si>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</si>
  <si>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</si>
  <si>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</si>
  <si>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</si>
  <si>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</si>
  <si>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</si>
  <si>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</si>
  <si>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</si>
  <si>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</si>
  <si>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</si>
  <si>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</si>
  <si>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</si>
  <si>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</si>
  <si>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</si>
  <si>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</si>
  <si>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</si>
  <si>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</si>
  <si>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</si>
  <si>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</si>
  <si>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</si>
  <si>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</si>
  <si>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</si>
  <si>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</si>
  <si>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</si>
  <si>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</si>
  <si>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</si>
  <si>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</si>
  <si>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</si>
  <si>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</si>
  <si>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</si>
  <si>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</si>
  <si>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</si>
  <si>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</si>
  <si>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</si>
  <si>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</si>
  <si>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</si>
  <si>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</si>
  <si>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</si>
  <si>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</si>
  <si>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</si>
  <si>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</si>
  <si>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</si>
  <si>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</si>
  <si>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</si>
  <si>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</si>
  <si>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</si>
  <si>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</si>
  <si>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</si>
  <si>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</si>
  <si>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</si>
  <si>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</si>
  <si>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</si>
  <si>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</si>
  <si>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</si>
  <si>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</si>
  <si>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中核リーダー</t>
    <rPh sb="0" eb="2">
      <t>チュウカク</t>
    </rPh>
    <phoneticPr fontId="1"/>
  </si>
  <si>
    <r>
      <t xml:space="preserve">職務分野別リーダー
</t>
    </r>
    <r>
      <rPr>
        <sz val="7"/>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</si>
  <si>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r>
      <t xml:space="preserve">職務分野別リーダー
</t>
    </r>
    <r>
      <rPr>
        <sz val="7"/>
        <color theme="1"/>
        <rFont val="游ゴシック"/>
        <family val="3"/>
        <charset val="128"/>
        <scheme val="minor"/>
      </rPr>
      <t>（食育・アレルギー対応）</t>
    </r>
    <rPh sb="0" eb="2">
      <t>ショクム</t>
    </rPh>
    <rPh sb="2" eb="4">
      <t>ブンヤ</t>
    </rPh>
    <rPh sb="4" eb="5">
      <t>ベツ</t>
    </rPh>
    <rPh sb="11" eb="13">
      <t>ショクイク</t>
    </rPh>
    <rPh sb="19" eb="21">
      <t>タイオウ</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</si>
  <si>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</si>
  <si>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（幼児教育）</t>
    </r>
    <rPh sb="0" eb="2">
      <t>ショクム</t>
    </rPh>
    <rPh sb="2" eb="4">
      <t>ブンヤ</t>
    </rPh>
    <rPh sb="4" eb="5">
      <t>ベツ</t>
    </rPh>
    <rPh sb="11" eb="13">
      <t>ヨウジ</t>
    </rPh>
    <rPh sb="13" eb="15">
      <t>キョウイク</t>
    </rPh>
    <phoneticPr fontId="1"/>
  </si>
  <si>
    <r>
      <t xml:space="preserve">職務分野別リーダー
</t>
    </r>
    <r>
      <rPr>
        <sz val="7"/>
        <color theme="1"/>
        <rFont val="游ゴシック"/>
        <family val="3"/>
        <charset val="128"/>
        <scheme val="minor"/>
      </rPr>
      <t>（障害児保育）</t>
    </r>
    <rPh sb="0" eb="2">
      <t>ショクム</t>
    </rPh>
    <rPh sb="2" eb="4">
      <t>ブンヤ</t>
    </rPh>
    <rPh sb="4" eb="5">
      <t>ベツ</t>
    </rPh>
    <rPh sb="11" eb="13">
      <t>ショウガイ</t>
    </rPh>
    <rPh sb="13" eb="14">
      <t>ジ</t>
    </rPh>
    <rPh sb="14" eb="16">
      <t>ホイク</t>
    </rPh>
    <phoneticPr fontId="1"/>
  </si>
  <si>
    <r>
      <t xml:space="preserve">事務職員
</t>
    </r>
    <r>
      <rPr>
        <sz val="7"/>
        <color theme="1"/>
        <rFont val="游ゴシック"/>
        <family val="3"/>
        <charset val="128"/>
        <scheme val="minor"/>
      </rPr>
      <t>（保健衛生・安全対策）</t>
    </r>
    <rPh sb="0" eb="2">
      <t>ジム</t>
    </rPh>
    <rPh sb="2" eb="4">
      <t>ショクイン</t>
    </rPh>
    <rPh sb="6" eb="8">
      <t>ホケン</t>
    </rPh>
    <rPh sb="8" eb="10">
      <t>エイセイ</t>
    </rPh>
    <rPh sb="11" eb="13">
      <t>アンゼン</t>
    </rPh>
    <rPh sb="13" eb="15">
      <t>タイサク</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</si>
  <si>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</si>
  <si>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r>
      <t xml:space="preserve">事務長
</t>
    </r>
    <r>
      <rPr>
        <sz val="7"/>
        <color theme="1"/>
        <rFont val="游ゴシック"/>
        <family val="3"/>
        <charset val="128"/>
        <scheme val="minor"/>
      </rPr>
      <t>（保健衛生・安全対策）</t>
    </r>
    <rPh sb="0" eb="2">
      <t>ジム</t>
    </rPh>
    <rPh sb="2" eb="3">
      <t>チョウ</t>
    </rPh>
    <rPh sb="5" eb="7">
      <t>ホケン</t>
    </rPh>
    <rPh sb="7" eb="9">
      <t>エイセイ</t>
    </rPh>
    <rPh sb="10" eb="12">
      <t>アンゼン</t>
    </rPh>
    <rPh sb="12" eb="14">
      <t>タイサク</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</si>
  <si>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</si>
  <si>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</si>
  <si>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</si>
  <si>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</si>
  <si>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</si>
  <si>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</si>
  <si>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</si>
  <si>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</si>
  <si>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</si>
  <si>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</si>
  <si>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</si>
  <si>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</si>
  <si>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</si>
  <si>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</si>
  <si>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</si>
  <si>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</si>
  <si>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</si>
  <si>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</si>
  <si>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</si>
  <si>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</si>
  <si>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</si>
  <si>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</si>
  <si>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</si>
  <si>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</si>
  <si>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</si>
  <si>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</si>
  <si>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</si>
  <si>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</si>
  <si>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</si>
  <si>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</si>
  <si>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</si>
  <si>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</si>
  <si>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</si>
  <si>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</si>
  <si>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資格取得年月日</t>
    <rPh sb="0" eb="2">
      <t>シカク</t>
    </rPh>
    <rPh sb="2" eb="4">
      <t>シュトク</t>
    </rPh>
    <rPh sb="4" eb="7">
      <t>ネンガッピ</t>
    </rPh>
    <phoneticPr fontId="1"/>
  </si>
  <si>
    <t>幼稚園免許</t>
    <rPh sb="0" eb="3">
      <t>ヨウチエン</t>
    </rPh>
    <rPh sb="3" eb="5">
      <t>メンキョ</t>
    </rPh>
    <phoneticPr fontId="1"/>
  </si>
  <si>
    <t>保育士資格</t>
    <rPh sb="0" eb="3">
      <t>ホイクシ</t>
    </rPh>
    <rPh sb="3" eb="5">
      <t>シカク</t>
    </rPh>
    <phoneticPr fontId="1"/>
  </si>
  <si>
    <t>備考</t>
    <rPh sb="0" eb="2">
      <t>ビコウ</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</si>
  <si>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</si>
  <si>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</si>
  <si>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</si>
  <si>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</si>
  <si>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</si>
  <si>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</si>
  <si>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</si>
  <si>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</si>
  <si>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処遇Ⅰ　年月数</t>
    <rPh sb="0" eb="2">
      <t>ショグウ</t>
    </rPh>
    <rPh sb="4" eb="5">
      <t>ネン</t>
    </rPh>
    <rPh sb="5" eb="7">
      <t>ツキスウ</t>
    </rPh>
    <phoneticPr fontId="1"/>
  </si>
  <si>
    <t>看護師等</t>
    <rPh sb="0" eb="3">
      <t>カンゴシ</t>
    </rPh>
    <rPh sb="3" eb="4">
      <t>トウ</t>
    </rPh>
    <phoneticPr fontId="1"/>
  </si>
  <si>
    <t>●●　●●</t>
    <phoneticPr fontId="6"/>
  </si>
  <si>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</si>
  <si>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</si>
  <si>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</si>
  <si>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</si>
  <si>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</si>
  <si>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</si>
  <si>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</si>
  <si>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</si>
  <si>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</si>
  <si>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</si>
  <si>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</si>
  <si>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</si>
  <si>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</si>
  <si>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</si>
  <si>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</si>
  <si>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</si>
  <si>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</si>
  <si>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</si>
  <si>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</si>
  <si>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</si>
  <si>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</si>
  <si>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</si>
  <si>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</si>
  <si>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</si>
  <si>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</si>
  <si>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</si>
  <si>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</si>
  <si>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</si>
  <si>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</si>
  <si>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</si>
  <si>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</si>
  <si>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</si>
  <si>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</si>
  <si>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</si>
  <si>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</si>
  <si>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</si>
  <si>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</si>
  <si>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</si>
  <si>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</si>
  <si>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</si>
  <si>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</si>
  <si>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</si>
  <si>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</si>
  <si>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</si>
  <si>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</si>
  <si>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</si>
  <si>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</si>
  <si>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</si>
  <si>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</si>
  <si>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</si>
  <si>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</si>
  <si>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</si>
  <si>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</si>
  <si>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</si>
  <si>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</si>
  <si>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</si>
  <si>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</si>
  <si>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</si>
  <si>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</si>
  <si>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</si>
  <si>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</si>
  <si>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</si>
  <si>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</si>
  <si>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</si>
  <si>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</si>
  <si>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〇〇認定こども園</t>
    <rPh sb="2" eb="8">
      <t>ニン</t>
    </rPh>
    <phoneticPr fontId="1"/>
  </si>
  <si>
    <t>●●　●●</t>
  </si>
  <si>
    <t>３号認定</t>
  </si>
  <si>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</si>
  <si>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</si>
  <si>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</si>
  <si>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</si>
  <si>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</si>
  <si>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</si>
  <si>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</si>
  <si>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</si>
  <si>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</si>
  <si>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</si>
  <si>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</si>
  <si>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</si>
  <si>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</si>
  <si>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</si>
  <si>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</si>
  <si>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</si>
  <si>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</si>
  <si>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</si>
  <si>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</si>
  <si>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</si>
  <si>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</si>
  <si>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</si>
  <si>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</si>
  <si>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</si>
  <si>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</si>
  <si>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</si>
  <si>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</si>
  <si>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</si>
  <si>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</si>
  <si>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</si>
  <si>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</si>
  <si>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</si>
  <si>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</si>
  <si>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</si>
  <si>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</si>
  <si>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</si>
  <si>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</si>
  <si>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</si>
  <si>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</si>
  <si>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</si>
  <si>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</si>
  <si>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</si>
  <si>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</si>
  <si>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</si>
  <si>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</si>
  <si>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</si>
  <si>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</si>
  <si>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</si>
  <si>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</si>
  <si>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（例）入力時削除してください</t>
    <rPh sb="1" eb="2">
      <t>レイ</t>
    </rPh>
    <rPh sb="3" eb="6">
      <t>ニュウリョクジ</t>
    </rPh>
    <rPh sb="6" eb="8">
      <t>サクジョ</t>
    </rPh>
    <phoneticPr fontId="1"/>
  </si>
  <si>
    <t>職務分野別リーダー
（保護者支援・子育て支援）</t>
    <rPh sb="0" eb="2">
      <t>ショクム</t>
    </rPh>
    <rPh sb="2" eb="4">
      <t>ブンヤ</t>
    </rPh>
    <rPh sb="4" eb="5">
      <t>ベツ</t>
    </rPh>
    <rPh sb="11" eb="14">
      <t>ホゴシャ</t>
    </rPh>
    <rPh sb="14" eb="16">
      <t>シエン</t>
    </rPh>
    <rPh sb="17" eb="19">
      <t>コソダ</t>
    </rPh>
    <rPh sb="20" eb="22">
      <t>シエン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</si>
  <si>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</si>
  <si>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</si>
  <si>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</si>
  <si>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</si>
  <si>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</si>
  <si>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</si>
  <si>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</si>
  <si>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</si>
  <si>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</si>
  <si>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</si>
  <si>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</si>
  <si>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人</t>
    <rPh sb="0" eb="1">
      <t>ニン</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</si>
  <si>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</si>
  <si>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</si>
  <si>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</si>
  <si>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</si>
  <si>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t>入力が必要です。</t>
    <rPh sb="0" eb="2">
      <t>ニュウリョク</t>
    </rPh>
    <rPh sb="3" eb="5">
      <t>ヒツヨウ</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</si>
  <si>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</si>
  <si>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</si>
  <si>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</si>
  <si>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人</t>
    <rPh sb="0" eb="1">
      <t>ニン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</si>
  <si>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</si>
  <si>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プレリリース（4月確認用）</t>
    <rPh sb="8" eb="9">
      <t>ガツ</t>
    </rPh>
    <rPh sb="9" eb="12">
      <t>カクニンヨウ</t>
    </rPh>
    <phoneticPr fontId="1"/>
  </si>
  <si>
    <t>R4年度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</si>
  <si>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R4年度　職員配置と各加算の関係性</t>
    <rPh sb="2" eb="4">
      <t>ネンド</t>
    </rPh>
    <rPh sb="5" eb="7">
      <t>ショクイン</t>
    </rPh>
    <rPh sb="7" eb="9">
      <t>ハイチ</t>
    </rPh>
    <rPh sb="10" eb="11">
      <t>カク</t>
    </rPh>
    <rPh sb="11" eb="13">
      <t>カサン</t>
    </rPh>
    <rPh sb="14" eb="17">
      <t>カンケイセイ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</si>
</sst>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2">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b/>
      <sz val="12"/>
      <color theme="1"/>
      <name val="游ゴシック"/>
      <family val="3"/>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41">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3" fillId="4" borderId="1" xfId="0" applyFont="1" applyFill="1" applyBorder="1" applyAlignment="1">
      <alignment horizontal="center" vertical="center" wrapText="1" shrinkToFit="1"/>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1" xfId="0" applyFont="1" applyFill="1" applyBorder="1">
      <alignment vertical="center"/>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7" fillId="5" borderId="18"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7" fillId="5" borderId="6" xfId="0" applyFont="1" applyFill="1" applyBorder="1" applyAlignment="1">
      <alignment horizontal="center"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14" fillId="6" borderId="1"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79" fontId="0" fillId="0" borderId="0" xfId="0" applyNumberFormat="1">
      <alignment vertical="center"/>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41" fillId="0" borderId="0" xfId="0" applyFont="1" applyBorder="1" applyAlignment="1">
      <alignment vertical="center"/>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53"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0" fillId="0" borderId="55" xfId="0" applyFill="1" applyBorder="1" applyAlignment="1">
      <alignment horizontal="center" vertical="center" shrinkToFit="1"/>
    </xf>
    <xf numFmtId="0" fontId="0" fillId="0" borderId="55" xfId="0" applyBorder="1" applyAlignment="1">
      <alignment vertical="center" shrinkToFit="1"/>
    </xf>
    <xf numFmtId="0" fontId="19" fillId="0" borderId="54" xfId="0" applyFont="1" applyBorder="1" applyAlignment="1">
      <alignment horizontal="center" vertical="center" wrapText="1"/>
    </xf>
    <xf numFmtId="0" fontId="0" fillId="0" borderId="57" xfId="0" applyFill="1" applyBorder="1" applyAlignment="1">
      <alignment horizontal="center" vertical="center" shrinkToFit="1"/>
    </xf>
    <xf numFmtId="0" fontId="0" fillId="0" borderId="57" xfId="0" applyBorder="1" applyAlignment="1">
      <alignment vertical="center" shrinkToFit="1"/>
    </xf>
    <xf numFmtId="0" fontId="19" fillId="0" borderId="56" xfId="0" applyFont="1" applyBorder="1" applyAlignment="1">
      <alignment horizontal="center" vertical="center" wrapText="1"/>
    </xf>
    <xf numFmtId="0" fontId="0" fillId="0" borderId="58" xfId="0" applyBorder="1" applyAlignment="1">
      <alignment vertical="center"/>
    </xf>
    <xf numFmtId="0" fontId="40" fillId="0" borderId="0" xfId="0" applyFont="1">
      <alignment vertical="center"/>
    </xf>
    <xf numFmtId="0" fontId="23" fillId="0" borderId="0" xfId="0" applyFont="1" applyBorder="1" applyAlignment="1">
      <alignment vertical="center" shrinkToFit="1"/>
    </xf>
    <xf numFmtId="0" fontId="0" fillId="0" borderId="60" xfId="0" applyBorder="1" applyAlignment="1">
      <alignment vertical="center"/>
    </xf>
    <xf numFmtId="0" fontId="19" fillId="0" borderId="23" xfId="0" applyFont="1" applyBorder="1" applyAlignment="1">
      <alignment horizontal="center" vertical="center"/>
    </xf>
    <xf numFmtId="0" fontId="0" fillId="0" borderId="23" xfId="0" applyFill="1" applyBorder="1" applyAlignment="1">
      <alignment horizontal="center" vertical="center"/>
    </xf>
    <xf numFmtId="0" fontId="19" fillId="0" borderId="58" xfId="0" applyFont="1" applyBorder="1" applyAlignment="1">
      <alignment horizontal="center" vertical="center"/>
    </xf>
    <xf numFmtId="0" fontId="41" fillId="0" borderId="29" xfId="0" applyFont="1" applyBorder="1" applyAlignme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0" fillId="4" borderId="46" xfId="0" applyFill="1" applyBorder="1" applyAlignment="1">
      <alignment horizontal="left" vertical="center"/>
    </xf>
    <xf numFmtId="0" fontId="0" fillId="4" borderId="47" xfId="0" applyFill="1" applyBorder="1" applyAlignment="1">
      <alignment horizontal="left" vertical="center"/>
    </xf>
    <xf numFmtId="0" fontId="0" fillId="4" borderId="48" xfId="0" applyFill="1" applyBorder="1" applyAlignment="1">
      <alignment horizontal="left" vertical="center"/>
    </xf>
    <xf numFmtId="0" fontId="0" fillId="4" borderId="49" xfId="0" applyFill="1" applyBorder="1" applyAlignment="1">
      <alignment horizontal="left" vertical="center"/>
    </xf>
    <xf numFmtId="0" fontId="0" fillId="4" borderId="1" xfId="0" applyFill="1" applyBorder="1" applyAlignment="1">
      <alignment horizontal="left" vertical="center"/>
    </xf>
    <xf numFmtId="0" fontId="0" fillId="4" borderId="50" xfId="0" applyFill="1" applyBorder="1" applyAlignment="1">
      <alignment horizontal="left" vertical="center"/>
    </xf>
    <xf numFmtId="0" fontId="0" fillId="4" borderId="51" xfId="0" applyFill="1" applyBorder="1" applyAlignment="1">
      <alignment horizontal="left" vertical="center"/>
    </xf>
    <xf numFmtId="0" fontId="0" fillId="4" borderId="3" xfId="0" applyFill="1" applyBorder="1" applyAlignment="1">
      <alignment horizontal="left" vertical="center"/>
    </xf>
    <xf numFmtId="0" fontId="0" fillId="4" borderId="27" xfId="0" applyFill="1" applyBorder="1" applyAlignment="1">
      <alignment horizontal="left"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52" xfId="0" applyFill="1" applyBorder="1" applyAlignment="1">
      <alignment horizontal="center" vertical="center"/>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19" fillId="0" borderId="53" xfId="0" applyFont="1" applyBorder="1" applyAlignment="1">
      <alignment horizontal="center" vertical="center" wrapText="1"/>
    </xf>
    <xf numFmtId="0" fontId="19" fillId="0" borderId="19" xfId="0" applyFont="1"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18"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5" fillId="0" borderId="59" xfId="0" applyFont="1" applyBorder="1" applyAlignment="1">
      <alignment vertical="center" wrapText="1"/>
    </xf>
    <xf numFmtId="0" fontId="5" fillId="0" borderId="58" xfId="0" applyFont="1" applyBorder="1" applyAlignment="1">
      <alignment vertical="center" wrapText="1"/>
    </xf>
    <xf numFmtId="176" fontId="0" fillId="3" borderId="14" xfId="0" applyNumberFormat="1" applyFill="1" applyBorder="1" applyAlignment="1">
      <alignment horizontal="center" vertical="center"/>
    </xf>
    <xf numFmtId="0" fontId="13"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23" fillId="0" borderId="7" xfId="0" applyFont="1" applyFill="1" applyBorder="1" applyAlignment="1">
      <alignment horizontal="center" vertical="center" wrapText="1" shrinkToFit="1"/>
    </xf>
    <xf numFmtId="0" fontId="23" fillId="0" borderId="39" xfId="0" applyFont="1" applyBorder="1" applyAlignment="1">
      <alignment vertical="center"/>
    </xf>
    <xf numFmtId="0" fontId="23" fillId="0" borderId="29" xfId="0" applyFont="1" applyBorder="1" applyAlignment="1">
      <alignment vertical="center"/>
    </xf>
    <xf numFmtId="0" fontId="23" fillId="0" borderId="0" xfId="0" applyFont="1" applyBorder="1" applyAlignment="1">
      <alignment vertical="center"/>
    </xf>
    <xf numFmtId="0" fontId="23" fillId="0" borderId="0" xfId="0" applyFont="1" applyBorder="1" applyAlignment="1">
      <alignment horizontal="left" vertical="center"/>
    </xf>
    <xf numFmtId="0" fontId="23" fillId="0" borderId="0" xfId="0" applyFont="1" applyAlignment="1">
      <alignment horizontal="left" vertical="center"/>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4" borderId="25"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0"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5" fillId="4" borderId="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30" fillId="0" borderId="0" xfId="0" applyFont="1" applyFill="1" applyAlignment="1">
      <alignment horizontal="right" vertical="center"/>
    </xf>
    <xf numFmtId="0" fontId="2" fillId="3" borderId="3" xfId="0" applyFont="1" applyFill="1" applyBorder="1" applyAlignment="1">
      <alignment horizontal="center" vertical="center"/>
    </xf>
    <xf numFmtId="0" fontId="0" fillId="0" borderId="16" xfId="0" applyBorder="1" applyAlignment="1">
      <alignment horizontal="center" vertical="center"/>
    </xf>
    <xf numFmtId="0" fontId="2"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5">
    <dxf>
      <fill>
        <patternFill>
          <bgColor rgb="FFFFFF99"/>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205154</xdr:colOff>
      <xdr:row>0</xdr:row>
      <xdr:rowOff>36635</xdr:rowOff>
    </xdr:from>
    <xdr:to>
      <xdr:col>11</xdr:col>
      <xdr:colOff>666750</xdr:colOff>
      <xdr:row>1</xdr:row>
      <xdr:rowOff>21982</xdr:rowOff>
    </xdr:to>
    <xdr:sp macro="" textlink="">
      <xdr:nvSpPr>
        <xdr:cNvPr id="2" name="正方形/長方形 1"/>
        <xdr:cNvSpPr/>
      </xdr:nvSpPr>
      <xdr:spPr>
        <a:xfrm>
          <a:off x="5663712" y="36635"/>
          <a:ext cx="776653"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twoCellAnchor>
    <xdr:from>
      <xdr:col>6</xdr:col>
      <xdr:colOff>49695</xdr:colOff>
      <xdr:row>8</xdr:row>
      <xdr:rowOff>24848</xdr:rowOff>
    </xdr:from>
    <xdr:to>
      <xdr:col>6</xdr:col>
      <xdr:colOff>165652</xdr:colOff>
      <xdr:row>11</xdr:row>
      <xdr:rowOff>455543</xdr:rowOff>
    </xdr:to>
    <xdr:sp macro="" textlink="">
      <xdr:nvSpPr>
        <xdr:cNvPr id="3" name="右中かっこ 2"/>
        <xdr:cNvSpPr/>
      </xdr:nvSpPr>
      <xdr:spPr>
        <a:xfrm>
          <a:off x="4654825" y="2252870"/>
          <a:ext cx="115957" cy="117613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53</xdr:row>
      <xdr:rowOff>163285</xdr:rowOff>
    </xdr:to>
    <xdr:sp macro="" textlink="">
      <xdr:nvSpPr>
        <xdr:cNvPr id="520" name="角丸四角形 519"/>
        <xdr:cNvSpPr/>
      </xdr:nvSpPr>
      <xdr:spPr>
        <a:xfrm>
          <a:off x="9872382" y="296476"/>
          <a:ext cx="3491433"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53</xdr:row>
      <xdr:rowOff>167768</xdr:rowOff>
    </xdr:to>
    <xdr:sp macro="" textlink="">
      <xdr:nvSpPr>
        <xdr:cNvPr id="519" name="角丸四角形 518"/>
        <xdr:cNvSpPr/>
      </xdr:nvSpPr>
      <xdr:spPr>
        <a:xfrm>
          <a:off x="6025562" y="300959"/>
          <a:ext cx="3480227"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532" name="角丸四角形 531"/>
        <xdr:cNvSpPr/>
      </xdr:nvSpPr>
      <xdr:spPr>
        <a:xfrm flipV="1">
          <a:off x="2310013" y="1804147"/>
          <a:ext cx="12712273" cy="990920"/>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31" name="角丸四角形 530"/>
        <xdr:cNvSpPr/>
      </xdr:nvSpPr>
      <xdr:spPr>
        <a:xfrm flipV="1">
          <a:off x="257736" y="613121"/>
          <a:ext cx="14764549" cy="824434"/>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40</xdr:row>
      <xdr:rowOff>160361</xdr:rowOff>
    </xdr:from>
    <xdr:to>
      <xdr:col>15</xdr:col>
      <xdr:colOff>170843</xdr:colOff>
      <xdr:row>40</xdr:row>
      <xdr:rowOff>165124</xdr:rowOff>
    </xdr:to>
    <xdr:cxnSp macro="">
      <xdr:nvCxnSpPr>
        <xdr:cNvPr id="423" name="カギ線コネクタ 422"/>
        <xdr:cNvCxnSpPr>
          <a:stCxn id="35" idx="3"/>
          <a:endCxn id="417" idx="1"/>
        </xdr:cNvCxnSpPr>
      </xdr:nvCxnSpPr>
      <xdr:spPr>
        <a:xfrm flipV="1">
          <a:off x="9027689" y="10202432"/>
          <a:ext cx="1348511"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19" name="正方形/長方形 18"/>
        <xdr:cNvSpPr/>
      </xdr:nvSpPr>
      <xdr:spPr>
        <a:xfrm>
          <a:off x="6379875" y="811200"/>
          <a:ext cx="2816678" cy="36464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20" name="正方形/長方形 19"/>
        <xdr:cNvSpPr/>
      </xdr:nvSpPr>
      <xdr:spPr>
        <a:xfrm>
          <a:off x="9860302" y="573751"/>
          <a:ext cx="2811231" cy="36626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22" name="正方形/長方形 21"/>
        <xdr:cNvSpPr/>
      </xdr:nvSpPr>
      <xdr:spPr>
        <a:xfrm>
          <a:off x="6354116" y="1995840"/>
          <a:ext cx="2803738" cy="68850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23" name="正方形/長方形 22"/>
        <xdr:cNvSpPr/>
      </xdr:nvSpPr>
      <xdr:spPr>
        <a:xfrm>
          <a:off x="10209431" y="1986643"/>
          <a:ext cx="2803738" cy="68722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24" name="カギ線コネクタ 23"/>
        <xdr:cNvCxnSpPr>
          <a:stCxn id="23" idx="2"/>
          <a:endCxn id="116" idx="0"/>
        </xdr:cNvCxnSpPr>
      </xdr:nvCxnSpPr>
      <xdr:spPr>
        <a:xfrm>
          <a:off x="11611300" y="2673872"/>
          <a:ext cx="5921" cy="76613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25" name="カギ線コネクタ 24"/>
        <xdr:cNvCxnSpPr>
          <a:stCxn id="22" idx="2"/>
          <a:endCxn id="4" idx="0"/>
        </xdr:cNvCxnSpPr>
      </xdr:nvCxnSpPr>
      <xdr:spPr>
        <a:xfrm>
          <a:off x="7755985" y="2684348"/>
          <a:ext cx="3553" cy="75712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26" name="カギ線コネクタ 25"/>
        <xdr:cNvCxnSpPr>
          <a:stCxn id="20" idx="2"/>
          <a:endCxn id="23" idx="0"/>
        </xdr:cNvCxnSpPr>
      </xdr:nvCxnSpPr>
      <xdr:spPr>
        <a:xfrm flipH="1">
          <a:off x="11611300" y="1210286"/>
          <a:ext cx="896" cy="7763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27" name="カギ線コネクタ 26"/>
        <xdr:cNvCxnSpPr>
          <a:stCxn id="113" idx="2"/>
          <a:endCxn id="28" idx="0"/>
        </xdr:cNvCxnSpPr>
      </xdr:nvCxnSpPr>
      <xdr:spPr>
        <a:xfrm>
          <a:off x="7857557" y="5200312"/>
          <a:ext cx="3169" cy="85458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28" name="正方形/長方形 27"/>
        <xdr:cNvSpPr/>
      </xdr:nvSpPr>
      <xdr:spPr>
        <a:xfrm>
          <a:off x="6222571" y="6054894"/>
          <a:ext cx="3276310"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29" name="カギ線コネクタ 28"/>
        <xdr:cNvCxnSpPr>
          <a:stCxn id="117" idx="2"/>
          <a:endCxn id="528" idx="0"/>
        </xdr:cNvCxnSpPr>
      </xdr:nvCxnSpPr>
      <xdr:spPr>
        <a:xfrm>
          <a:off x="11739361" y="5198846"/>
          <a:ext cx="3312" cy="8614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31" name="正方形/長方形 30"/>
        <xdr:cNvSpPr/>
      </xdr:nvSpPr>
      <xdr:spPr>
        <a:xfrm>
          <a:off x="8259489" y="4282965"/>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32" name="正方形/長方形 31"/>
        <xdr:cNvSpPr/>
      </xdr:nvSpPr>
      <xdr:spPr>
        <a:xfrm>
          <a:off x="4373947" y="4255704"/>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70539</xdr:rowOff>
    </xdr:to>
    <xdr:sp macro="" textlink="">
      <xdr:nvSpPr>
        <xdr:cNvPr id="33" name="正方形/長方形 32"/>
        <xdr:cNvSpPr/>
      </xdr:nvSpPr>
      <xdr:spPr>
        <a:xfrm>
          <a:off x="6497507"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35</xdr:row>
      <xdr:rowOff>149832</xdr:rowOff>
    </xdr:from>
    <xdr:to>
      <xdr:col>13</xdr:col>
      <xdr:colOff>173521</xdr:colOff>
      <xdr:row>37</xdr:row>
      <xdr:rowOff>19975</xdr:rowOff>
    </xdr:to>
    <xdr:sp macro="" textlink="">
      <xdr:nvSpPr>
        <xdr:cNvPr id="34" name="正方形/長方形 33"/>
        <xdr:cNvSpPr/>
      </xdr:nvSpPr>
      <xdr:spPr>
        <a:xfrm>
          <a:off x="6498164" y="8967261"/>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39</xdr:row>
      <xdr:rowOff>225289</xdr:rowOff>
    </xdr:from>
    <xdr:to>
      <xdr:col>13</xdr:col>
      <xdr:colOff>183046</xdr:colOff>
      <xdr:row>41</xdr:row>
      <xdr:rowOff>104957</xdr:rowOff>
    </xdr:to>
    <xdr:sp macro="" textlink="">
      <xdr:nvSpPr>
        <xdr:cNvPr id="35" name="正方形/長方形 34"/>
        <xdr:cNvSpPr/>
      </xdr:nvSpPr>
      <xdr:spPr>
        <a:xfrm>
          <a:off x="6507689" y="10022432"/>
          <a:ext cx="2520000" cy="36952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36" name="正方形/長方形 35"/>
        <xdr:cNvSpPr/>
      </xdr:nvSpPr>
      <xdr:spPr>
        <a:xfrm>
          <a:off x="13717520" y="5941530"/>
          <a:ext cx="2803746" cy="65793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38" name="正方形/長方形 37"/>
        <xdr:cNvSpPr/>
      </xdr:nvSpPr>
      <xdr:spPr>
        <a:xfrm>
          <a:off x="6609495" y="8016403"/>
          <a:ext cx="2569481" cy="35505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39" name="正方形/長方形 38"/>
        <xdr:cNvSpPr/>
      </xdr:nvSpPr>
      <xdr:spPr>
        <a:xfrm>
          <a:off x="6584013" y="7408589"/>
          <a:ext cx="2553494"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40" name="カギ線コネクタ 39"/>
        <xdr:cNvCxnSpPr>
          <a:stCxn id="19" idx="2"/>
          <a:endCxn id="22" idx="0"/>
        </xdr:cNvCxnSpPr>
      </xdr:nvCxnSpPr>
      <xdr:spPr>
        <a:xfrm flipH="1">
          <a:off x="7755985" y="1209629"/>
          <a:ext cx="1261" cy="78621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41" name="カギ線コネクタ 40"/>
        <xdr:cNvCxnSpPr>
          <a:stCxn id="36" idx="2"/>
          <a:endCxn id="39" idx="0"/>
        </xdr:cNvCxnSpPr>
      </xdr:nvCxnSpPr>
      <xdr:spPr>
        <a:xfrm rot="5400000">
          <a:off x="11114822" y="3253293"/>
          <a:ext cx="658400" cy="735074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1542</xdr:rowOff>
    </xdr:from>
    <xdr:to>
      <xdr:col>9</xdr:col>
      <xdr:colOff>374294</xdr:colOff>
      <xdr:row>34</xdr:row>
      <xdr:rowOff>136704</xdr:rowOff>
    </xdr:to>
    <xdr:cxnSp macro="">
      <xdr:nvCxnSpPr>
        <xdr:cNvPr id="43" name="カギ線コネクタ 42"/>
        <xdr:cNvCxnSpPr>
          <a:stCxn id="194" idx="2"/>
          <a:endCxn id="33" idx="1"/>
        </xdr:cNvCxnSpPr>
      </xdr:nvCxnSpPr>
      <xdr:spPr>
        <a:xfrm rot="16200000" flipH="1">
          <a:off x="3237338" y="4923799"/>
          <a:ext cx="1802037"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36</xdr:row>
      <xdr:rowOff>84904</xdr:rowOff>
    </xdr:to>
    <xdr:cxnSp macro="">
      <xdr:nvCxnSpPr>
        <xdr:cNvPr id="44" name="カギ線コネクタ 43"/>
        <xdr:cNvCxnSpPr>
          <a:stCxn id="194" idx="2"/>
          <a:endCxn id="34" idx="1"/>
        </xdr:cNvCxnSpPr>
      </xdr:nvCxnSpPr>
      <xdr:spPr>
        <a:xfrm rot="16200000" flipH="1">
          <a:off x="3025441" y="5135695"/>
          <a:ext cx="222648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40</xdr:row>
      <xdr:rowOff>165124</xdr:rowOff>
    </xdr:to>
    <xdr:cxnSp macro="">
      <xdr:nvCxnSpPr>
        <xdr:cNvPr id="45" name="カギ線コネクタ 44"/>
        <xdr:cNvCxnSpPr>
          <a:stCxn id="194" idx="2"/>
          <a:endCxn id="35" idx="1"/>
        </xdr:cNvCxnSpPr>
      </xdr:nvCxnSpPr>
      <xdr:spPr>
        <a:xfrm rot="16200000" flipH="1">
          <a:off x="2436283" y="6135789"/>
          <a:ext cx="3354456" cy="47883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46" name="カギ線コネクタ 45"/>
        <xdr:cNvCxnSpPr>
          <a:stCxn id="194" idx="2"/>
          <a:endCxn id="38"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38</xdr:row>
      <xdr:rowOff>9898</xdr:rowOff>
    </xdr:from>
    <xdr:to>
      <xdr:col>13</xdr:col>
      <xdr:colOff>172864</xdr:colOff>
      <xdr:row>39</xdr:row>
      <xdr:rowOff>124969</xdr:rowOff>
    </xdr:to>
    <xdr:sp macro="" textlink="">
      <xdr:nvSpPr>
        <xdr:cNvPr id="47" name="正方形/長方形 46"/>
        <xdr:cNvSpPr/>
      </xdr:nvSpPr>
      <xdr:spPr>
        <a:xfrm>
          <a:off x="6497507" y="956211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49</xdr:row>
      <xdr:rowOff>13693</xdr:rowOff>
    </xdr:from>
    <xdr:to>
      <xdr:col>13</xdr:col>
      <xdr:colOff>181404</xdr:colOff>
      <xdr:row>50</xdr:row>
      <xdr:rowOff>120318</xdr:rowOff>
    </xdr:to>
    <xdr:sp macro="" textlink="">
      <xdr:nvSpPr>
        <xdr:cNvPr id="48" name="正方形/長方形 47"/>
        <xdr:cNvSpPr/>
      </xdr:nvSpPr>
      <xdr:spPr>
        <a:xfrm>
          <a:off x="6531385" y="11601348"/>
          <a:ext cx="2531260" cy="34310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44</xdr:row>
      <xdr:rowOff>68976</xdr:rowOff>
    </xdr:from>
    <xdr:to>
      <xdr:col>18</xdr:col>
      <xdr:colOff>647017</xdr:colOff>
      <xdr:row>45</xdr:row>
      <xdr:rowOff>184048</xdr:rowOff>
    </xdr:to>
    <xdr:sp macro="" textlink="">
      <xdr:nvSpPr>
        <xdr:cNvPr id="49" name="正方形/長方形 48"/>
        <xdr:cNvSpPr/>
      </xdr:nvSpPr>
      <xdr:spPr>
        <a:xfrm>
          <a:off x="10373445" y="11090762"/>
          <a:ext cx="2520001"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46</xdr:row>
      <xdr:rowOff>22748</xdr:rowOff>
    </xdr:from>
    <xdr:to>
      <xdr:col>18</xdr:col>
      <xdr:colOff>645336</xdr:colOff>
      <xdr:row>47</xdr:row>
      <xdr:rowOff>140295</xdr:rowOff>
    </xdr:to>
    <xdr:sp macro="" textlink="">
      <xdr:nvSpPr>
        <xdr:cNvPr id="50" name="正方形/長方形 49"/>
        <xdr:cNvSpPr/>
      </xdr:nvSpPr>
      <xdr:spPr>
        <a:xfrm>
          <a:off x="10371764" y="11534391"/>
          <a:ext cx="2520001" cy="36247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48</xdr:row>
      <xdr:rowOff>209414</xdr:rowOff>
    </xdr:from>
    <xdr:to>
      <xdr:col>5</xdr:col>
      <xdr:colOff>3201</xdr:colOff>
      <xdr:row>50</xdr:row>
      <xdr:rowOff>114242</xdr:rowOff>
    </xdr:to>
    <xdr:sp macro="" textlink="">
      <xdr:nvSpPr>
        <xdr:cNvPr id="51" name="正方形/長方形 50"/>
        <xdr:cNvSpPr/>
      </xdr:nvSpPr>
      <xdr:spPr>
        <a:xfrm>
          <a:off x="683558" y="12210914"/>
          <a:ext cx="2721429" cy="39468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46</xdr:row>
      <xdr:rowOff>199763</xdr:rowOff>
    </xdr:to>
    <xdr:cxnSp macro="">
      <xdr:nvCxnSpPr>
        <xdr:cNvPr id="85" name="カギ線コネクタ 84"/>
        <xdr:cNvCxnSpPr>
          <a:endCxn id="50" idx="3"/>
        </xdr:cNvCxnSpPr>
      </xdr:nvCxnSpPr>
      <xdr:spPr>
        <a:xfrm rot="5400000">
          <a:off x="12342530" y="4974844"/>
          <a:ext cx="6696467" cy="5509785"/>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45</xdr:row>
      <xdr:rowOff>8270</xdr:rowOff>
    </xdr:to>
    <xdr:cxnSp macro="">
      <xdr:nvCxnSpPr>
        <xdr:cNvPr id="87" name="カギ線コネクタ 86"/>
        <xdr:cNvCxnSpPr>
          <a:endCxn id="49" idx="3"/>
        </xdr:cNvCxnSpPr>
      </xdr:nvCxnSpPr>
      <xdr:spPr>
        <a:xfrm rot="5400000">
          <a:off x="12636184" y="5523695"/>
          <a:ext cx="5427667" cy="482493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167" name="正方形/長方形 166"/>
        <xdr:cNvSpPr/>
      </xdr:nvSpPr>
      <xdr:spPr>
        <a:xfrm>
          <a:off x="680357" y="584974"/>
          <a:ext cx="2085084"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169" name="正方形/長方形 168"/>
        <xdr:cNvSpPr/>
      </xdr:nvSpPr>
      <xdr:spPr>
        <a:xfrm>
          <a:off x="122465" y="4408714"/>
          <a:ext cx="3197678" cy="421822"/>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170" name="カギ線コネクタ 39"/>
        <xdr:cNvCxnSpPr>
          <a:stCxn id="167" idx="2"/>
          <a:endCxn id="169" idx="0"/>
        </xdr:cNvCxnSpPr>
      </xdr:nvCxnSpPr>
      <xdr:spPr>
        <a:xfrm flipH="1">
          <a:off x="1721304" y="959690"/>
          <a:ext cx="1595" cy="344902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173" name="カギ線コネクタ 172"/>
        <xdr:cNvCxnSpPr>
          <a:stCxn id="19" idx="1"/>
          <a:endCxn id="206" idx="3"/>
        </xdr:cNvCxnSpPr>
      </xdr:nvCxnSpPr>
      <xdr:spPr>
        <a:xfrm rot="10800000" flipV="1">
          <a:off x="1747797" y="993523"/>
          <a:ext cx="4632079" cy="664996"/>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176" name="カギ線コネクタ 175"/>
        <xdr:cNvCxnSpPr>
          <a:stCxn id="20" idx="1"/>
          <a:endCxn id="206" idx="3"/>
        </xdr:cNvCxnSpPr>
      </xdr:nvCxnSpPr>
      <xdr:spPr>
        <a:xfrm rot="10800000" flipV="1">
          <a:off x="1747797" y="993367"/>
          <a:ext cx="8500075" cy="665151"/>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194" name="正方形/長方形 193"/>
        <xdr:cNvSpPr/>
      </xdr:nvSpPr>
      <xdr:spPr>
        <a:xfrm>
          <a:off x="99333" y="5887811"/>
          <a:ext cx="3240000" cy="720000"/>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225" name="グループ化 224"/>
        <xdr:cNvGrpSpPr/>
      </xdr:nvGrpSpPr>
      <xdr:grpSpPr>
        <a:xfrm>
          <a:off x="2987686" y="1898421"/>
          <a:ext cx="2740692" cy="770140"/>
          <a:chOff x="3429000" y="1197517"/>
          <a:chExt cx="2101412" cy="456136"/>
        </a:xfrm>
      </xdr:grpSpPr>
      <xdr:sp macro="" textlink="">
        <xdr:nvSpPr>
          <xdr:cNvPr id="223" name="正方形/長方形 222"/>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224" name="正方形/長方形 223"/>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229" name="カギ線コネクタ 228"/>
        <xdr:cNvCxnSpPr>
          <a:stCxn id="22" idx="1"/>
          <a:endCxn id="227" idx="3"/>
        </xdr:cNvCxnSpPr>
      </xdr:nvCxnSpPr>
      <xdr:spPr>
        <a:xfrm rot="10800000" flipV="1">
          <a:off x="4305354" y="2340094"/>
          <a:ext cx="2048762" cy="604122"/>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232" name="カギ線コネクタ 231"/>
        <xdr:cNvCxnSpPr>
          <a:stCxn id="23" idx="1"/>
          <a:endCxn id="227" idx="3"/>
        </xdr:cNvCxnSpPr>
      </xdr:nvCxnSpPr>
      <xdr:spPr>
        <a:xfrm rot="10800000" flipV="1">
          <a:off x="4305355" y="2330258"/>
          <a:ext cx="5904077" cy="613958"/>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244" name="カギ線コネクタ 39"/>
        <xdr:cNvCxnSpPr>
          <a:stCxn id="169" idx="2"/>
          <a:endCxn id="194" idx="0"/>
        </xdr:cNvCxnSpPr>
      </xdr:nvCxnSpPr>
      <xdr:spPr>
        <a:xfrm flipH="1">
          <a:off x="1719333" y="4830536"/>
          <a:ext cx="1971" cy="105727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265" name="カギ線コネクタ 264"/>
        <xdr:cNvCxnSpPr>
          <a:stCxn id="224" idx="2"/>
          <a:endCxn id="194" idx="3"/>
        </xdr:cNvCxnSpPr>
      </xdr:nvCxnSpPr>
      <xdr:spPr>
        <a:xfrm rot="5400000">
          <a:off x="1990511" y="3962955"/>
          <a:ext cx="3670277" cy="950109"/>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49</xdr:row>
      <xdr:rowOff>161828</xdr:rowOff>
    </xdr:from>
    <xdr:to>
      <xdr:col>9</xdr:col>
      <xdr:colOff>382833</xdr:colOff>
      <xdr:row>49</xdr:row>
      <xdr:rowOff>185247</xdr:rowOff>
    </xdr:to>
    <xdr:cxnSp macro="">
      <xdr:nvCxnSpPr>
        <xdr:cNvPr id="278" name="カギ線コネクタ 86"/>
        <xdr:cNvCxnSpPr>
          <a:stCxn id="51" idx="3"/>
          <a:endCxn id="48" idx="1"/>
        </xdr:cNvCxnSpPr>
      </xdr:nvCxnSpPr>
      <xdr:spPr>
        <a:xfrm>
          <a:off x="3419063" y="11749483"/>
          <a:ext cx="311232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38</xdr:row>
      <xdr:rowOff>189897</xdr:rowOff>
    </xdr:to>
    <xdr:cxnSp macro="">
      <xdr:nvCxnSpPr>
        <xdr:cNvPr id="286" name="カギ線コネクタ 285"/>
        <xdr:cNvCxnSpPr>
          <a:stCxn id="194" idx="2"/>
          <a:endCxn id="47" idx="1"/>
        </xdr:cNvCxnSpPr>
      </xdr:nvCxnSpPr>
      <xdr:spPr>
        <a:xfrm rot="16200000" flipH="1">
          <a:off x="2663734" y="5908338"/>
          <a:ext cx="2889373" cy="47781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345" name="正方形/長方形 344"/>
        <xdr:cNvSpPr/>
      </xdr:nvSpPr>
      <xdr:spPr>
        <a:xfrm>
          <a:off x="10464247" y="7408589"/>
          <a:ext cx="2545120"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346" name="カギ線コネクタ 28"/>
        <xdr:cNvCxnSpPr>
          <a:stCxn id="528" idx="2"/>
          <a:endCxn id="345" idx="0"/>
        </xdr:cNvCxnSpPr>
      </xdr:nvCxnSpPr>
      <xdr:spPr>
        <a:xfrm flipH="1">
          <a:off x="11736807" y="6779329"/>
          <a:ext cx="5866" cy="62926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350" name="カギ線コネクタ 28"/>
        <xdr:cNvCxnSpPr>
          <a:stCxn id="28" idx="2"/>
          <a:endCxn id="39" idx="0"/>
        </xdr:cNvCxnSpPr>
      </xdr:nvCxnSpPr>
      <xdr:spPr>
        <a:xfrm>
          <a:off x="7860726" y="6773920"/>
          <a:ext cx="34" cy="6346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39</xdr:row>
      <xdr:rowOff>225289</xdr:rowOff>
    </xdr:from>
    <xdr:to>
      <xdr:col>18</xdr:col>
      <xdr:colOff>649771</xdr:colOff>
      <xdr:row>41</xdr:row>
      <xdr:rowOff>95432</xdr:rowOff>
    </xdr:to>
    <xdr:sp macro="" textlink="">
      <xdr:nvSpPr>
        <xdr:cNvPr id="417" name="正方形/長方形 416"/>
        <xdr:cNvSpPr/>
      </xdr:nvSpPr>
      <xdr:spPr>
        <a:xfrm>
          <a:off x="10376200" y="1002243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70539</xdr:rowOff>
    </xdr:to>
    <xdr:sp macro="" textlink="">
      <xdr:nvSpPr>
        <xdr:cNvPr id="418" name="正方形/長方形 417"/>
        <xdr:cNvSpPr/>
      </xdr:nvSpPr>
      <xdr:spPr>
        <a:xfrm>
          <a:off x="10375543"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136705</xdr:rowOff>
    </xdr:from>
    <xdr:to>
      <xdr:col>15</xdr:col>
      <xdr:colOff>170186</xdr:colOff>
      <xdr:row>34</xdr:row>
      <xdr:rowOff>136705</xdr:rowOff>
    </xdr:to>
    <xdr:cxnSp macro="">
      <xdr:nvCxnSpPr>
        <xdr:cNvPr id="508" name="カギ線コネクタ 422"/>
        <xdr:cNvCxnSpPr>
          <a:stCxn id="33" idx="3"/>
          <a:endCxn id="418" idx="1"/>
        </xdr:cNvCxnSpPr>
      </xdr:nvCxnSpPr>
      <xdr:spPr>
        <a:xfrm>
          <a:off x="9017507" y="8709205"/>
          <a:ext cx="1358036"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528" name="正方形/長方形 527"/>
        <xdr:cNvSpPr/>
      </xdr:nvSpPr>
      <xdr:spPr>
        <a:xfrm>
          <a:off x="10103655" y="6060303"/>
          <a:ext cx="3278035"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533" name="正方形/長方形 532"/>
        <xdr:cNvSpPr/>
      </xdr:nvSpPr>
      <xdr:spPr>
        <a:xfrm>
          <a:off x="7519149" y="145675"/>
          <a:ext cx="739588"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534" name="正方形/長方形 533"/>
        <xdr:cNvSpPr/>
      </xdr:nvSpPr>
      <xdr:spPr>
        <a:xfrm>
          <a:off x="11268636" y="141192"/>
          <a:ext cx="1069039"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535" name="正方形/長方形 534"/>
        <xdr:cNvSpPr/>
      </xdr:nvSpPr>
      <xdr:spPr>
        <a:xfrm>
          <a:off x="13433452" y="905275"/>
          <a:ext cx="1738513"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536" name="正方形/長方形 535"/>
        <xdr:cNvSpPr/>
      </xdr:nvSpPr>
      <xdr:spPr>
        <a:xfrm>
          <a:off x="13934834" y="2167859"/>
          <a:ext cx="897751"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537" name="正方形/長方形 536"/>
        <xdr:cNvSpPr/>
      </xdr:nvSpPr>
      <xdr:spPr>
        <a:xfrm>
          <a:off x="15832633" y="1377043"/>
          <a:ext cx="2123995" cy="9729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538" name="右中かっこ 537"/>
        <xdr:cNvSpPr/>
      </xdr:nvSpPr>
      <xdr:spPr>
        <a:xfrm>
          <a:off x="15145552" y="624328"/>
          <a:ext cx="747592" cy="203786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47</xdr:row>
      <xdr:rowOff>221497</xdr:rowOff>
    </xdr:from>
    <xdr:to>
      <xdr:col>4</xdr:col>
      <xdr:colOff>324971</xdr:colOff>
      <xdr:row>49</xdr:row>
      <xdr:rowOff>113281</xdr:rowOff>
    </xdr:to>
    <xdr:sp macro="" textlink="">
      <xdr:nvSpPr>
        <xdr:cNvPr id="539" name="正方形/長方形 538"/>
        <xdr:cNvSpPr/>
      </xdr:nvSpPr>
      <xdr:spPr>
        <a:xfrm>
          <a:off x="702769" y="11978068"/>
          <a:ext cx="2343631" cy="3816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250" name="グループ化 249"/>
        <xdr:cNvGrpSpPr/>
      </xdr:nvGrpSpPr>
      <xdr:grpSpPr>
        <a:xfrm>
          <a:off x="6627576" y="3406841"/>
          <a:ext cx="2541936" cy="1807458"/>
          <a:chOff x="6576954" y="3397515"/>
          <a:chExt cx="2525949" cy="1802797"/>
        </a:xfrm>
      </xdr:grpSpPr>
      <xdr:sp macro="" textlink="">
        <xdr:nvSpPr>
          <xdr:cNvPr id="4" name="正方形/長方形 3"/>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113" name="正方形/長方形 112"/>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115" name="グループ化 114"/>
        <xdr:cNvGrpSpPr/>
      </xdr:nvGrpSpPr>
      <xdr:grpSpPr>
        <a:xfrm>
          <a:off x="10536644" y="3405375"/>
          <a:ext cx="2533368" cy="1807458"/>
          <a:chOff x="6582903" y="3397515"/>
          <a:chExt cx="2521378" cy="1802797"/>
        </a:xfrm>
      </xdr:grpSpPr>
      <xdr:sp macro="" textlink="">
        <xdr:nvSpPr>
          <xdr:cNvPr id="116" name="正方形/長方形 115"/>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117" name="正方形/長方形 116"/>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129" name="正方形/長方形 128"/>
        <xdr:cNvSpPr/>
      </xdr:nvSpPr>
      <xdr:spPr>
        <a:xfrm>
          <a:off x="6532302" y="7794490"/>
          <a:ext cx="2920414" cy="3766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37</xdr:row>
      <xdr:rowOff>38021</xdr:rowOff>
    </xdr:from>
    <xdr:to>
      <xdr:col>13</xdr:col>
      <xdr:colOff>450574</xdr:colOff>
      <xdr:row>38</xdr:row>
      <xdr:rowOff>174736</xdr:rowOff>
    </xdr:to>
    <xdr:sp macro="" textlink="">
      <xdr:nvSpPr>
        <xdr:cNvPr id="130" name="正方形/長方形 129"/>
        <xdr:cNvSpPr/>
      </xdr:nvSpPr>
      <xdr:spPr>
        <a:xfrm>
          <a:off x="6424284" y="9345307"/>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46</xdr:row>
      <xdr:rowOff>102922</xdr:rowOff>
    </xdr:from>
    <xdr:to>
      <xdr:col>13</xdr:col>
      <xdr:colOff>179946</xdr:colOff>
      <xdr:row>47</xdr:row>
      <xdr:rowOff>217992</xdr:rowOff>
    </xdr:to>
    <xdr:sp macro="" textlink="">
      <xdr:nvSpPr>
        <xdr:cNvPr id="132" name="正方形/長方形 131"/>
        <xdr:cNvSpPr/>
      </xdr:nvSpPr>
      <xdr:spPr>
        <a:xfrm>
          <a:off x="6529927" y="10981129"/>
          <a:ext cx="2531260" cy="3515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46</xdr:row>
      <xdr:rowOff>79775</xdr:rowOff>
    </xdr:from>
    <xdr:to>
      <xdr:col>5</xdr:col>
      <xdr:colOff>975</xdr:colOff>
      <xdr:row>47</xdr:row>
      <xdr:rowOff>224585</xdr:rowOff>
    </xdr:to>
    <xdr:sp macro="" textlink="">
      <xdr:nvSpPr>
        <xdr:cNvPr id="133" name="正方形/長方形 132"/>
        <xdr:cNvSpPr/>
      </xdr:nvSpPr>
      <xdr:spPr>
        <a:xfrm>
          <a:off x="681332" y="11591418"/>
          <a:ext cx="2721429" cy="38973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47</xdr:row>
      <xdr:rowOff>29716</xdr:rowOff>
    </xdr:from>
    <xdr:to>
      <xdr:col>9</xdr:col>
      <xdr:colOff>381375</xdr:colOff>
      <xdr:row>47</xdr:row>
      <xdr:rowOff>37993</xdr:rowOff>
    </xdr:to>
    <xdr:cxnSp macro="">
      <xdr:nvCxnSpPr>
        <xdr:cNvPr id="134" name="カギ線コネクタ 86"/>
        <xdr:cNvCxnSpPr>
          <a:stCxn id="133" idx="3"/>
          <a:endCxn id="132" idx="1"/>
        </xdr:cNvCxnSpPr>
      </xdr:nvCxnSpPr>
      <xdr:spPr>
        <a:xfrm>
          <a:off x="3402761" y="11786287"/>
          <a:ext cx="3101828"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42</xdr:row>
      <xdr:rowOff>110494</xdr:rowOff>
    </xdr:from>
    <xdr:to>
      <xdr:col>13</xdr:col>
      <xdr:colOff>185767</xdr:colOff>
      <xdr:row>43</xdr:row>
      <xdr:rowOff>235090</xdr:rowOff>
    </xdr:to>
    <xdr:sp macro="" textlink="">
      <xdr:nvSpPr>
        <xdr:cNvPr id="138" name="正方形/長方形 137"/>
        <xdr:cNvSpPr/>
      </xdr:nvSpPr>
      <xdr:spPr>
        <a:xfrm>
          <a:off x="6510410" y="10642423"/>
          <a:ext cx="2520000" cy="36952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43</xdr:row>
      <xdr:rowOff>50328</xdr:rowOff>
    </xdr:to>
    <xdr:cxnSp macro="">
      <xdr:nvCxnSpPr>
        <xdr:cNvPr id="139" name="カギ線コネクタ 138"/>
        <xdr:cNvCxnSpPr>
          <a:stCxn id="194" idx="2"/>
          <a:endCxn id="138" idx="1"/>
        </xdr:cNvCxnSpPr>
      </xdr:nvCxnSpPr>
      <xdr:spPr>
        <a:xfrm rot="16200000" flipH="1">
          <a:off x="2127648" y="6444423"/>
          <a:ext cx="3974446" cy="47910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41</xdr:row>
      <xdr:rowOff>128183</xdr:rowOff>
    </xdr:from>
    <xdr:to>
      <xdr:col>13</xdr:col>
      <xdr:colOff>483942</xdr:colOff>
      <xdr:row>43</xdr:row>
      <xdr:rowOff>19969</xdr:rowOff>
    </xdr:to>
    <xdr:sp macro="" textlink="">
      <xdr:nvSpPr>
        <xdr:cNvPr id="142" name="正方形/長方形 141"/>
        <xdr:cNvSpPr/>
      </xdr:nvSpPr>
      <xdr:spPr>
        <a:xfrm>
          <a:off x="6457652" y="10415183"/>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51</xdr:row>
      <xdr:rowOff>226068</xdr:rowOff>
    </xdr:from>
    <xdr:to>
      <xdr:col>13</xdr:col>
      <xdr:colOff>184126</xdr:colOff>
      <xdr:row>53</xdr:row>
      <xdr:rowOff>96212</xdr:rowOff>
    </xdr:to>
    <xdr:sp macro="" textlink="">
      <xdr:nvSpPr>
        <xdr:cNvPr id="143" name="正方形/長方形 142"/>
        <xdr:cNvSpPr/>
      </xdr:nvSpPr>
      <xdr:spPr>
        <a:xfrm>
          <a:off x="6534107" y="12286689"/>
          <a:ext cx="2531260" cy="34310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51</xdr:row>
      <xdr:rowOff>210207</xdr:rowOff>
    </xdr:from>
    <xdr:to>
      <xdr:col>8</xdr:col>
      <xdr:colOff>381000</xdr:colOff>
      <xdr:row>53</xdr:row>
      <xdr:rowOff>108858</xdr:rowOff>
    </xdr:to>
    <xdr:sp macro="" textlink="">
      <xdr:nvSpPr>
        <xdr:cNvPr id="144" name="正方形/長方形 143"/>
        <xdr:cNvSpPr/>
      </xdr:nvSpPr>
      <xdr:spPr>
        <a:xfrm>
          <a:off x="689095" y="12270828"/>
          <a:ext cx="5157284" cy="3716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52</xdr:row>
      <xdr:rowOff>159533</xdr:rowOff>
    </xdr:from>
    <xdr:to>
      <xdr:col>9</xdr:col>
      <xdr:colOff>385555</xdr:colOff>
      <xdr:row>52</xdr:row>
      <xdr:rowOff>161141</xdr:rowOff>
    </xdr:to>
    <xdr:cxnSp macro="">
      <xdr:nvCxnSpPr>
        <xdr:cNvPr id="145" name="カギ線コネクタ 86"/>
        <xdr:cNvCxnSpPr>
          <a:stCxn id="144" idx="3"/>
          <a:endCxn id="143" idx="1"/>
        </xdr:cNvCxnSpPr>
      </xdr:nvCxnSpPr>
      <xdr:spPr>
        <a:xfrm>
          <a:off x="5846379" y="12456636"/>
          <a:ext cx="687728"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50</xdr:row>
      <xdr:rowOff>114242</xdr:rowOff>
    </xdr:from>
    <xdr:to>
      <xdr:col>3</xdr:col>
      <xdr:colOff>3201</xdr:colOff>
      <xdr:row>51</xdr:row>
      <xdr:rowOff>216776</xdr:rowOff>
    </xdr:to>
    <xdr:cxnSp macro="">
      <xdr:nvCxnSpPr>
        <xdr:cNvPr id="148" name="カギ線コネクタ 86"/>
        <xdr:cNvCxnSpPr>
          <a:stCxn id="51" idx="2"/>
        </xdr:cNvCxnSpPr>
      </xdr:nvCxnSpPr>
      <xdr:spPr>
        <a:xfrm>
          <a:off x="2052718" y="11938380"/>
          <a:ext cx="0" cy="339017"/>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51</xdr:row>
      <xdr:rowOff>1573</xdr:rowOff>
    </xdr:from>
    <xdr:to>
      <xdr:col>9</xdr:col>
      <xdr:colOff>54673</xdr:colOff>
      <xdr:row>52</xdr:row>
      <xdr:rowOff>120237</xdr:rowOff>
    </xdr:to>
    <xdr:sp macro="" textlink="">
      <xdr:nvSpPr>
        <xdr:cNvPr id="152" name="正方形/長方形 151"/>
        <xdr:cNvSpPr/>
      </xdr:nvSpPr>
      <xdr:spPr>
        <a:xfrm>
          <a:off x="3330584" y="12062194"/>
          <a:ext cx="2872641" cy="3551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44</xdr:row>
      <xdr:rowOff>8007</xdr:rowOff>
    </xdr:from>
    <xdr:to>
      <xdr:col>21</xdr:col>
      <xdr:colOff>649809</xdr:colOff>
      <xdr:row>46</xdr:row>
      <xdr:rowOff>39057</xdr:rowOff>
    </xdr:to>
    <xdr:sp macro="" textlink="">
      <xdr:nvSpPr>
        <xdr:cNvPr id="177" name="正方形/長方形 176"/>
        <xdr:cNvSpPr/>
      </xdr:nvSpPr>
      <xdr:spPr>
        <a:xfrm>
          <a:off x="13310830" y="11029793"/>
          <a:ext cx="1626479" cy="52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45</xdr:row>
      <xdr:rowOff>181367</xdr:rowOff>
    </xdr:from>
    <xdr:to>
      <xdr:col>20</xdr:col>
      <xdr:colOff>674647</xdr:colOff>
      <xdr:row>47</xdr:row>
      <xdr:rowOff>61075</xdr:rowOff>
    </xdr:to>
    <xdr:sp macro="" textlink="">
      <xdr:nvSpPr>
        <xdr:cNvPr id="178" name="正方形/長方形 177"/>
        <xdr:cNvSpPr/>
      </xdr:nvSpPr>
      <xdr:spPr>
        <a:xfrm>
          <a:off x="13321597" y="11448081"/>
          <a:ext cx="960193" cy="3695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44</xdr:row>
      <xdr:rowOff>75699</xdr:rowOff>
    </xdr:from>
    <xdr:to>
      <xdr:col>13</xdr:col>
      <xdr:colOff>170869</xdr:colOff>
      <xdr:row>45</xdr:row>
      <xdr:rowOff>190771</xdr:rowOff>
    </xdr:to>
    <xdr:sp macro="" textlink="">
      <xdr:nvSpPr>
        <xdr:cNvPr id="179" name="正方形/長方形 178"/>
        <xdr:cNvSpPr/>
      </xdr:nvSpPr>
      <xdr:spPr>
        <a:xfrm>
          <a:off x="6498713" y="11097485"/>
          <a:ext cx="2516799"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45</xdr:row>
      <xdr:rowOff>4048</xdr:rowOff>
    </xdr:from>
    <xdr:to>
      <xdr:col>15</xdr:col>
      <xdr:colOff>168088</xdr:colOff>
      <xdr:row>45</xdr:row>
      <xdr:rowOff>10771</xdr:rowOff>
    </xdr:to>
    <xdr:cxnSp macro="">
      <xdr:nvCxnSpPr>
        <xdr:cNvPr id="180" name="カギ線コネクタ 86"/>
        <xdr:cNvCxnSpPr>
          <a:stCxn id="49" idx="1"/>
          <a:endCxn id="179" idx="3"/>
        </xdr:cNvCxnSpPr>
      </xdr:nvCxnSpPr>
      <xdr:spPr>
        <a:xfrm flipH="1">
          <a:off x="9015512" y="11270762"/>
          <a:ext cx="1357933"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157" name="グループ化 156"/>
        <xdr:cNvGrpSpPr/>
      </xdr:nvGrpSpPr>
      <xdr:grpSpPr>
        <a:xfrm>
          <a:off x="9169512" y="4489750"/>
          <a:ext cx="9523375" cy="857387"/>
          <a:chOff x="9169512" y="4489751"/>
          <a:chExt cx="9523375" cy="1095749"/>
        </a:xfrm>
      </xdr:grpSpPr>
      <xdr:cxnSp macro="">
        <xdr:nvCxnSpPr>
          <xdr:cNvPr id="192" name="カギ線コネクタ 191"/>
          <xdr:cNvCxnSpPr>
            <a:stCxn id="117"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156" name="グループ化 155"/>
          <xdr:cNvGrpSpPr/>
        </xdr:nvGrpSpPr>
        <xdr:grpSpPr>
          <a:xfrm>
            <a:off x="9169512" y="4491677"/>
            <a:ext cx="8831263" cy="1093823"/>
            <a:chOff x="9169512" y="4491677"/>
            <a:chExt cx="8831263" cy="1093823"/>
          </a:xfrm>
        </xdr:grpSpPr>
        <xdr:cxnSp macro="">
          <xdr:nvCxnSpPr>
            <xdr:cNvPr id="188" name="カギ線コネクタ 187"/>
            <xdr:cNvCxnSpPr>
              <a:stCxn id="113"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15"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101" name="カギ線コネクタ 100"/>
        <xdr:cNvCxnSpPr>
          <a:stCxn id="194" idx="2"/>
          <a:endCxn id="39"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108" name="カギ線コネクタ 422"/>
        <xdr:cNvCxnSpPr>
          <a:stCxn id="39" idx="3"/>
          <a:endCxn id="34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48</xdr:row>
      <xdr:rowOff>240463</xdr:rowOff>
    </xdr:from>
    <xdr:to>
      <xdr:col>18</xdr:col>
      <xdr:colOff>645336</xdr:colOff>
      <xdr:row>50</xdr:row>
      <xdr:rowOff>113081</xdr:rowOff>
    </xdr:to>
    <xdr:sp macro="" textlink="">
      <xdr:nvSpPr>
        <xdr:cNvPr id="111" name="正方形/長方形 110"/>
        <xdr:cNvSpPr/>
      </xdr:nvSpPr>
      <xdr:spPr>
        <a:xfrm>
          <a:off x="10371764" y="11997034"/>
          <a:ext cx="2520001" cy="36247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48</xdr:row>
      <xdr:rowOff>176893</xdr:rowOff>
    </xdr:from>
    <xdr:to>
      <xdr:col>23</xdr:col>
      <xdr:colOff>269888</xdr:colOff>
      <xdr:row>49</xdr:row>
      <xdr:rowOff>219241</xdr:rowOff>
    </xdr:to>
    <xdr:sp macro="" textlink="">
      <xdr:nvSpPr>
        <xdr:cNvPr id="112" name="正方形/長方形 111"/>
        <xdr:cNvSpPr/>
      </xdr:nvSpPr>
      <xdr:spPr>
        <a:xfrm>
          <a:off x="13321393" y="11933464"/>
          <a:ext cx="2596709" cy="2872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49</xdr:row>
      <xdr:rowOff>0</xdr:rowOff>
    </xdr:from>
    <xdr:to>
      <xdr:col>27</xdr:col>
      <xdr:colOff>78541</xdr:colOff>
      <xdr:row>50</xdr:row>
      <xdr:rowOff>129786</xdr:rowOff>
    </xdr:to>
    <xdr:sp macro="" textlink="">
      <xdr:nvSpPr>
        <xdr:cNvPr id="114" name="正方形/長方形 113"/>
        <xdr:cNvSpPr/>
      </xdr:nvSpPr>
      <xdr:spPr>
        <a:xfrm>
          <a:off x="15648214" y="12001500"/>
          <a:ext cx="2799970" cy="37471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49</xdr:row>
      <xdr:rowOff>176772</xdr:rowOff>
    </xdr:from>
    <xdr:to>
      <xdr:col>23</xdr:col>
      <xdr:colOff>0</xdr:colOff>
      <xdr:row>49</xdr:row>
      <xdr:rowOff>187358</xdr:rowOff>
    </xdr:to>
    <xdr:cxnSp macro="">
      <xdr:nvCxnSpPr>
        <xdr:cNvPr id="118" name="カギ線コネクタ 86"/>
        <xdr:cNvCxnSpPr>
          <a:stCxn id="114" idx="1"/>
          <a:endCxn id="111" idx="3"/>
        </xdr:cNvCxnSpPr>
      </xdr:nvCxnSpPr>
      <xdr:spPr>
        <a:xfrm flipH="1" flipV="1">
          <a:off x="12891765" y="12178272"/>
          <a:ext cx="2756449"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tabSelected="1" view="pageBreakPreview" zoomScale="130" zoomScaleNormal="100" zoomScaleSheetLayoutView="130" workbookViewId="0">
      <selection activeCell="B2" sqref="B2"/>
    </sheetView>
  </sheetViews>
  <sheetFormatPr defaultRowHeight="18.75"/>
  <cols>
    <col min="1" max="1" width="16.875" customWidth="1"/>
    <col min="9" max="9" width="9" style="4"/>
    <col min="11" max="11" width="15" customWidth="1"/>
    <col min="12" max="13" width="4.75" customWidth="1"/>
  </cols>
  <sheetData>
    <row r="1" spans="1:13" ht="24">
      <c r="A1" s="210" t="s">
        <v>188</v>
      </c>
      <c r="B1" s="211"/>
      <c r="C1" s="211"/>
      <c r="D1" s="211"/>
      <c r="E1" s="211"/>
      <c r="F1" s="211"/>
      <c r="G1" s="212"/>
      <c r="H1" s="10"/>
    </row>
    <row r="2" spans="1:13">
      <c r="H2" s="158">
        <f>改修履歴!A1</f>
        <v>0.99</v>
      </c>
      <c r="K2" s="76" t="s">
        <v>151</v>
      </c>
      <c r="L2" s="52">
        <f>COUNTIF(H4:H8,"〇")</f>
        <v>0</v>
      </c>
      <c r="M2">
        <f>L2-1</f>
        <v>-1</v>
      </c>
    </row>
    <row r="3" spans="1:13" ht="19.5" thickBot="1">
      <c r="A3" t="s">
        <v>265</v>
      </c>
      <c r="E3" s="220" t="s">
        <v>150</v>
      </c>
      <c r="F3" s="220"/>
      <c r="G3" s="220"/>
      <c r="H3" s="220"/>
      <c r="K3" s="77" t="s">
        <v>152</v>
      </c>
      <c r="L3" s="52">
        <f>COUNTIF(H9:H13,"〇")</f>
        <v>0</v>
      </c>
      <c r="M3">
        <f>L3-1</f>
        <v>-1</v>
      </c>
    </row>
    <row r="4" spans="1:13" ht="19.5" thickBot="1">
      <c r="A4" s="213">
        <v>44652</v>
      </c>
      <c r="B4" s="214"/>
      <c r="C4" t="s">
        <v>30</v>
      </c>
      <c r="D4" s="21" t="s">
        <v>39</v>
      </c>
      <c r="E4" s="221" t="s">
        <v>34</v>
      </c>
      <c r="F4" s="221"/>
      <c r="G4" s="222"/>
      <c r="H4" s="19"/>
      <c r="K4" s="21" t="s">
        <v>200</v>
      </c>
      <c r="L4" s="52">
        <f>COUNTIF(H4:H7,"〇")+COUNTIF(H9,"〇")+COUNTIF(H11:H12,"〇")</f>
        <v>0</v>
      </c>
    </row>
    <row r="5" spans="1:13" ht="19.5" thickBot="1">
      <c r="D5" s="21" t="s">
        <v>39</v>
      </c>
      <c r="E5" s="208" t="s">
        <v>35</v>
      </c>
      <c r="F5" s="208"/>
      <c r="G5" s="209"/>
      <c r="H5" s="19"/>
    </row>
    <row r="6" spans="1:13" ht="19.5" thickBot="1">
      <c r="A6" s="3" t="s">
        <v>41</v>
      </c>
      <c r="D6" s="21" t="s">
        <v>39</v>
      </c>
      <c r="E6" s="208" t="s">
        <v>36</v>
      </c>
      <c r="F6" s="208"/>
      <c r="G6" s="209"/>
      <c r="H6" s="19"/>
    </row>
    <row r="7" spans="1:13" ht="19.5" thickBot="1">
      <c r="A7" s="217" t="s">
        <v>226</v>
      </c>
      <c r="B7" s="218"/>
      <c r="C7" s="219"/>
      <c r="D7" s="21" t="s">
        <v>39</v>
      </c>
      <c r="E7" s="208" t="s">
        <v>37</v>
      </c>
      <c r="F7" s="208"/>
      <c r="G7" s="209"/>
      <c r="H7" s="19"/>
      <c r="I7" s="4" t="s">
        <v>43</v>
      </c>
    </row>
    <row r="8" spans="1:13" ht="19.5" thickBot="1">
      <c r="A8" s="2"/>
      <c r="B8" s="2"/>
      <c r="D8" s="21" t="s">
        <v>39</v>
      </c>
      <c r="E8" s="208" t="s">
        <v>195</v>
      </c>
      <c r="F8" s="208"/>
      <c r="G8" s="209"/>
      <c r="H8" s="19"/>
    </row>
    <row r="9" spans="1:13" ht="19.5" thickBot="1">
      <c r="A9" t="s">
        <v>31</v>
      </c>
      <c r="D9" s="22" t="s">
        <v>40</v>
      </c>
      <c r="E9" s="208" t="s">
        <v>32</v>
      </c>
      <c r="F9" s="208"/>
      <c r="G9" s="209"/>
      <c r="H9" s="19"/>
    </row>
    <row r="10" spans="1:13" ht="19.5" thickBot="1">
      <c r="A10" s="215">
        <v>160</v>
      </c>
      <c r="B10" s="216"/>
      <c r="C10" t="s">
        <v>28</v>
      </c>
      <c r="D10" s="22" t="s">
        <v>40</v>
      </c>
      <c r="E10" s="208" t="s">
        <v>35</v>
      </c>
      <c r="F10" s="208"/>
      <c r="G10" s="209"/>
      <c r="H10" s="20" t="str">
        <f>IF(H5="","-",H5)</f>
        <v>-</v>
      </c>
    </row>
    <row r="11" spans="1:13" ht="19.5" thickBot="1">
      <c r="D11" s="22" t="s">
        <v>40</v>
      </c>
      <c r="E11" s="208" t="s">
        <v>33</v>
      </c>
      <c r="F11" s="208"/>
      <c r="G11" s="209"/>
      <c r="H11" s="19"/>
    </row>
    <row r="12" spans="1:13" ht="19.5" thickBot="1">
      <c r="D12" s="22" t="s">
        <v>40</v>
      </c>
      <c r="E12" s="208" t="s">
        <v>38</v>
      </c>
      <c r="F12" s="208"/>
      <c r="G12" s="209"/>
      <c r="H12" s="19"/>
    </row>
    <row r="13" spans="1:13" ht="19.5" thickBot="1">
      <c r="D13" s="22" t="s">
        <v>40</v>
      </c>
      <c r="E13" s="208" t="s">
        <v>37</v>
      </c>
      <c r="F13" s="208"/>
      <c r="G13" s="209"/>
      <c r="H13" s="20" t="str">
        <f>IF(H7="","-",H7)</f>
        <v>-</v>
      </c>
    </row>
    <row r="15" spans="1:13" ht="19.5" thickBot="1">
      <c r="A15" s="198" t="s">
        <v>299</v>
      </c>
    </row>
    <row r="16" spans="1:13">
      <c r="A16" s="1"/>
      <c r="B16" s="1" t="s">
        <v>0</v>
      </c>
      <c r="C16" s="1" t="s">
        <v>1</v>
      </c>
      <c r="D16" s="1" t="s">
        <v>2</v>
      </c>
      <c r="E16" s="1" t="s">
        <v>3</v>
      </c>
      <c r="F16" s="1" t="s">
        <v>4</v>
      </c>
      <c r="G16" s="25" t="s">
        <v>5</v>
      </c>
      <c r="H16" s="26" t="s">
        <v>9</v>
      </c>
    </row>
    <row r="17" spans="1:9">
      <c r="A17" s="1" t="s">
        <v>6</v>
      </c>
      <c r="B17" s="116"/>
      <c r="C17" s="116"/>
      <c r="D17" s="12">
        <v>0</v>
      </c>
      <c r="E17" s="12"/>
      <c r="F17" s="12"/>
      <c r="G17" s="13"/>
      <c r="H17" s="166">
        <f>SUM(B17:G17)</f>
        <v>0</v>
      </c>
    </row>
    <row r="18" spans="1:9">
      <c r="A18" s="1" t="s">
        <v>7</v>
      </c>
      <c r="B18" s="116"/>
      <c r="C18" s="116"/>
      <c r="D18" s="116"/>
      <c r="E18" s="12"/>
      <c r="F18" s="12"/>
      <c r="G18" s="13"/>
      <c r="H18" s="166">
        <f>SUM(B18:G18)</f>
        <v>0</v>
      </c>
    </row>
    <row r="19" spans="1:9" ht="19.5" thickBot="1">
      <c r="A19" s="23" t="s">
        <v>8</v>
      </c>
      <c r="B19" s="14"/>
      <c r="C19" s="14"/>
      <c r="D19" s="14"/>
      <c r="E19" s="117"/>
      <c r="F19" s="117"/>
      <c r="G19" s="118"/>
      <c r="H19" s="167">
        <f>SUM(B19:G19)</f>
        <v>0</v>
      </c>
    </row>
    <row r="20" spans="1:9" ht="19.5" thickBot="1">
      <c r="A20" s="24" t="s">
        <v>9</v>
      </c>
      <c r="B20" s="169">
        <f>SUM(B17:B19)</f>
        <v>0</v>
      </c>
      <c r="C20" s="169">
        <f t="shared" ref="C20:G20" si="0">SUM(C17:C19)</f>
        <v>0</v>
      </c>
      <c r="D20" s="169">
        <f t="shared" si="0"/>
        <v>0</v>
      </c>
      <c r="E20" s="169">
        <f t="shared" si="0"/>
        <v>0</v>
      </c>
      <c r="F20" s="169">
        <f t="shared" si="0"/>
        <v>0</v>
      </c>
      <c r="G20" s="170">
        <f t="shared" si="0"/>
        <v>0</v>
      </c>
      <c r="H20" s="168">
        <f>SUM(B20:G20)</f>
        <v>0</v>
      </c>
    </row>
    <row r="23" spans="1:9" ht="19.5" thickBot="1">
      <c r="A23" t="s">
        <v>273</v>
      </c>
    </row>
    <row r="24" spans="1:9">
      <c r="A24" s="223" t="s">
        <v>270</v>
      </c>
      <c r="B24" s="224"/>
      <c r="C24" s="224"/>
      <c r="D24" s="224"/>
      <c r="E24" s="224"/>
      <c r="F24" s="224"/>
      <c r="G24" s="225"/>
      <c r="H24" s="159"/>
      <c r="I24"/>
    </row>
    <row r="25" spans="1:9">
      <c r="A25" s="226" t="s">
        <v>271</v>
      </c>
      <c r="B25" s="227"/>
      <c r="C25" s="227"/>
      <c r="D25" s="227"/>
      <c r="E25" s="227"/>
      <c r="F25" s="227"/>
      <c r="G25" s="228"/>
      <c r="H25" s="160"/>
      <c r="I25"/>
    </row>
    <row r="26" spans="1:9" ht="19.5" thickBot="1">
      <c r="A26" s="229" t="s">
        <v>272</v>
      </c>
      <c r="B26" s="230"/>
      <c r="C26" s="230"/>
      <c r="D26" s="230"/>
      <c r="E26" s="230"/>
      <c r="F26" s="230"/>
      <c r="G26" s="231"/>
      <c r="H26" s="161"/>
      <c r="I26"/>
    </row>
    <row r="27" spans="1:9" ht="19.5" thickBot="1">
      <c r="A27" s="232" t="s">
        <v>9</v>
      </c>
      <c r="B27" s="233"/>
      <c r="C27" s="233"/>
      <c r="D27" s="233"/>
      <c r="E27" s="233"/>
      <c r="F27" s="233"/>
      <c r="G27" s="234"/>
      <c r="H27" s="162">
        <f>SUM(H24:H26)</f>
        <v>0</v>
      </c>
      <c r="I27"/>
    </row>
  </sheetData>
  <mergeCells count="19">
    <mergeCell ref="A24:G24"/>
    <mergeCell ref="A25:G25"/>
    <mergeCell ref="A26:G26"/>
    <mergeCell ref="A27:G27"/>
    <mergeCell ref="E12:G12"/>
    <mergeCell ref="E13:G13"/>
    <mergeCell ref="E11:G11"/>
    <mergeCell ref="E8:G8"/>
    <mergeCell ref="A1:G1"/>
    <mergeCell ref="A4:B4"/>
    <mergeCell ref="A10:B10"/>
    <mergeCell ref="A7:C7"/>
    <mergeCell ref="E3:H3"/>
    <mergeCell ref="E4:G4"/>
    <mergeCell ref="E5:G5"/>
    <mergeCell ref="E6:G6"/>
    <mergeCell ref="E7:G7"/>
    <mergeCell ref="E9:G9"/>
    <mergeCell ref="E10:G10"/>
  </mergeCells>
  <phoneticPr fontId="1"/>
  <dataValidations count="1">
    <dataValidation type="list" allowBlank="1" showInputMessage="1" showErrorMessage="1" sqref="H11:H12 H4:H9">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G9" sqref="G9"/>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240" t="s">
        <v>189</v>
      </c>
      <c r="B1" s="240"/>
      <c r="C1" s="240"/>
      <c r="D1" s="240"/>
      <c r="E1" s="240"/>
      <c r="F1" s="240"/>
      <c r="G1" s="8"/>
    </row>
    <row r="2" spans="1:17" ht="9" customHeight="1">
      <c r="A2" s="7"/>
      <c r="B2" s="8"/>
      <c r="C2" s="8"/>
      <c r="D2" s="8"/>
      <c r="E2" s="8"/>
      <c r="F2" s="8"/>
      <c r="G2" s="158">
        <f>改修履歴!A1</f>
        <v>0.99</v>
      </c>
    </row>
    <row r="3" spans="1:17" ht="19.5" thickBot="1">
      <c r="A3" s="3" t="s">
        <v>41</v>
      </c>
      <c r="F3" s="241" t="s">
        <v>265</v>
      </c>
      <c r="G3" s="241"/>
    </row>
    <row r="4" spans="1:17" ht="19.5" thickBot="1">
      <c r="A4" s="242" t="str">
        <f>①基本情報!A7</f>
        <v>〇〇認定こども園</v>
      </c>
      <c r="B4" s="243"/>
      <c r="C4" s="244"/>
      <c r="D4" s="134"/>
      <c r="F4" s="238">
        <f>①基本情報!A4</f>
        <v>44652</v>
      </c>
      <c r="G4" s="239"/>
    </row>
    <row r="5" spans="1:17" ht="8.25" customHeight="1"/>
    <row r="6" spans="1:17">
      <c r="F6" s="9" t="s">
        <v>27</v>
      </c>
      <c r="G6" s="18">
        <v>44652</v>
      </c>
    </row>
    <row r="7" spans="1:17" ht="19.5" thickBot="1">
      <c r="A7" s="5" t="s">
        <v>20</v>
      </c>
      <c r="B7" s="1" t="s">
        <v>26</v>
      </c>
      <c r="C7" s="1" t="s">
        <v>21</v>
      </c>
      <c r="D7" s="1" t="s">
        <v>22</v>
      </c>
      <c r="E7" s="1" t="s">
        <v>23</v>
      </c>
      <c r="F7" s="1" t="s">
        <v>24</v>
      </c>
      <c r="G7" s="1" t="s">
        <v>25</v>
      </c>
    </row>
    <row r="8" spans="1:17" ht="12" customHeight="1" thickBot="1">
      <c r="A8" s="5">
        <v>1</v>
      </c>
      <c r="B8" s="11">
        <f>IF(D8="","",(DATEDIF(D8,$G$6,"Y")))</f>
        <v>2</v>
      </c>
      <c r="C8" s="15" t="s">
        <v>278</v>
      </c>
      <c r="D8" s="16">
        <v>43678</v>
      </c>
      <c r="E8" s="15" t="s">
        <v>228</v>
      </c>
      <c r="F8" s="15" t="s">
        <v>72</v>
      </c>
      <c r="G8" s="17"/>
      <c r="I8" s="30"/>
      <c r="J8" s="30">
        <v>0</v>
      </c>
      <c r="K8" s="30">
        <v>1</v>
      </c>
      <c r="L8" s="30">
        <v>2</v>
      </c>
      <c r="M8" s="30">
        <v>3</v>
      </c>
      <c r="N8" s="30">
        <v>4</v>
      </c>
      <c r="O8" s="31">
        <v>5</v>
      </c>
      <c r="P8" s="32" t="s">
        <v>9</v>
      </c>
      <c r="Q8" s="43"/>
    </row>
    <row r="9" spans="1:17" ht="12" customHeight="1" thickBot="1">
      <c r="A9" s="5">
        <v>2</v>
      </c>
      <c r="B9" s="11" t="str">
        <f t="shared" ref="B9:B72" si="0">IF(D9="","",(DATEDIF(D9,$G$6,"Y")))</f>
        <v/>
      </c>
      <c r="C9" s="15"/>
      <c r="D9" s="16"/>
      <c r="E9" s="15"/>
      <c r="F9" s="15"/>
      <c r="G9" s="17"/>
      <c r="I9" s="30" t="s">
        <v>229</v>
      </c>
      <c r="J9" s="33"/>
      <c r="K9" s="33"/>
      <c r="L9" s="33">
        <f>COUNTIFS($B$8:$B$307,L$8,$E$8:$E$307,$I9)</f>
        <v>0</v>
      </c>
      <c r="M9" s="33">
        <f>COUNTIFS($B$8:$B$307,M$8,$E$8:$E$307,$I9)</f>
        <v>0</v>
      </c>
      <c r="N9" s="33">
        <f>COUNTIFS($B$8:$B$307,N$8,$E$8:$E$307,$I9)</f>
        <v>0</v>
      </c>
      <c r="O9" s="33">
        <f>COUNTIFS($B$8:$B$307,O$8,$E$8:$E$307,$I9)</f>
        <v>0</v>
      </c>
      <c r="P9" s="34">
        <f>SUM(J9:O9)</f>
        <v>0</v>
      </c>
      <c r="Q9" s="80" t="e">
        <f>P9/①基本情報!H17</f>
        <v>#DIV/0!</v>
      </c>
    </row>
    <row r="10" spans="1:17" ht="12" customHeight="1">
      <c r="A10" s="5">
        <v>3</v>
      </c>
      <c r="B10" s="11" t="str">
        <f t="shared" si="0"/>
        <v/>
      </c>
      <c r="C10" s="15"/>
      <c r="D10" s="16"/>
      <c r="E10" s="15"/>
      <c r="F10" s="15"/>
      <c r="G10" s="17"/>
      <c r="I10" s="30" t="s">
        <v>230</v>
      </c>
      <c r="J10" s="33"/>
      <c r="K10" s="33"/>
      <c r="L10" s="33"/>
      <c r="M10" s="33">
        <f>COUNTIFS($B$8:$B$307,M$8,$E$8:$E$307,$I10)</f>
        <v>0</v>
      </c>
      <c r="N10" s="33">
        <f>COUNTIFS($B$8:$B$307,N$8,$E$8:$E$307,$I10)</f>
        <v>0</v>
      </c>
      <c r="O10" s="33">
        <f>COUNTIFS($B$8:$B$307,O$8,$E$8:$E$307,$I10)</f>
        <v>0</v>
      </c>
      <c r="P10" s="34">
        <f>SUM(J10:O10)</f>
        <v>0</v>
      </c>
      <c r="Q10" s="235" t="e">
        <f>(SUM(P10:P12)/SUM(①基本情報!H18:H19))</f>
        <v>#DIV/0!</v>
      </c>
    </row>
    <row r="11" spans="1:17" ht="12" customHeight="1">
      <c r="A11" s="5">
        <v>4</v>
      </c>
      <c r="B11" s="11" t="str">
        <f t="shared" si="0"/>
        <v/>
      </c>
      <c r="C11" s="15"/>
      <c r="D11" s="16"/>
      <c r="E11" s="15"/>
      <c r="F11" s="15"/>
      <c r="G11" s="17"/>
      <c r="I11" s="30" t="s">
        <v>230</v>
      </c>
      <c r="J11" s="33"/>
      <c r="K11" s="33"/>
      <c r="L11" s="33">
        <f>COUNTIFS($B$8:$B$307,L$8,$E$8:$E$307,$I11)</f>
        <v>0</v>
      </c>
      <c r="M11" s="36"/>
      <c r="N11" s="36"/>
      <c r="O11" s="37"/>
      <c r="P11" s="34">
        <f>SUM(J11:O11)</f>
        <v>0</v>
      </c>
      <c r="Q11" s="236"/>
    </row>
    <row r="12" spans="1:17" ht="12" customHeight="1" thickBot="1">
      <c r="A12" s="5">
        <v>5</v>
      </c>
      <c r="B12" s="11" t="str">
        <f t="shared" si="0"/>
        <v/>
      </c>
      <c r="C12" s="15"/>
      <c r="D12" s="16"/>
      <c r="E12" s="15"/>
      <c r="F12" s="15"/>
      <c r="G12" s="17"/>
      <c r="I12" s="35" t="s">
        <v>231</v>
      </c>
      <c r="J12" s="33">
        <f>COUNTIFS($B$8:$B$307,J$8,$E$8:$E$307,$I12)</f>
        <v>0</v>
      </c>
      <c r="K12" s="33">
        <f>COUNTIFS($B$8:$B$307,K$8,$E$8:$E$307,$I12)</f>
        <v>0</v>
      </c>
      <c r="L12" s="33">
        <f>COUNTIFS($B$8:$B$307,L$8,$E$8:$E$307,$I12)</f>
        <v>1</v>
      </c>
      <c r="M12" s="36"/>
      <c r="N12" s="36"/>
      <c r="O12" s="37"/>
      <c r="P12" s="38">
        <f t="shared" ref="P12:P13" si="1">SUM(J12:O12)</f>
        <v>1</v>
      </c>
      <c r="Q12" s="237"/>
    </row>
    <row r="13" spans="1:17" ht="12" customHeight="1" thickBot="1">
      <c r="A13" s="5">
        <v>6</v>
      </c>
      <c r="B13" s="11" t="str">
        <f t="shared" si="0"/>
        <v/>
      </c>
      <c r="C13" s="15"/>
      <c r="D13" s="16"/>
      <c r="E13" s="15"/>
      <c r="F13" s="15"/>
      <c r="G13" s="17"/>
      <c r="I13" s="39" t="s">
        <v>9</v>
      </c>
      <c r="J13" s="40">
        <f t="shared" ref="J13:O13" si="2">SUM(J9:J12)</f>
        <v>0</v>
      </c>
      <c r="K13" s="40">
        <f t="shared" si="2"/>
        <v>0</v>
      </c>
      <c r="L13" s="40">
        <f t="shared" si="2"/>
        <v>1</v>
      </c>
      <c r="M13" s="40">
        <f t="shared" si="2"/>
        <v>0</v>
      </c>
      <c r="N13" s="40">
        <f t="shared" si="2"/>
        <v>0</v>
      </c>
      <c r="O13" s="41">
        <f t="shared" si="2"/>
        <v>0</v>
      </c>
      <c r="P13" s="42">
        <f t="shared" si="1"/>
        <v>1</v>
      </c>
      <c r="Q13" s="43"/>
    </row>
    <row r="14" spans="1:17" ht="12" customHeight="1">
      <c r="A14" s="5">
        <v>7</v>
      </c>
      <c r="B14" s="11" t="str">
        <f t="shared" si="0"/>
        <v/>
      </c>
      <c r="C14" s="15"/>
      <c r="D14" s="16"/>
      <c r="E14" s="15"/>
      <c r="F14" s="15"/>
      <c r="G14" s="17"/>
    </row>
    <row r="15" spans="1:17" ht="12" customHeight="1">
      <c r="A15" s="5">
        <v>8</v>
      </c>
      <c r="B15" s="11" t="str">
        <f t="shared" si="0"/>
        <v/>
      </c>
      <c r="C15" s="15"/>
      <c r="D15" s="16"/>
      <c r="E15" s="15"/>
      <c r="F15" s="15"/>
      <c r="G15" s="17"/>
    </row>
    <row r="16" spans="1:17" ht="12" customHeight="1">
      <c r="A16" s="5">
        <v>9</v>
      </c>
      <c r="B16" s="11" t="str">
        <f t="shared" si="0"/>
        <v/>
      </c>
      <c r="C16" s="15"/>
      <c r="D16" s="16"/>
      <c r="E16" s="15"/>
      <c r="F16" s="15"/>
      <c r="G16" s="17"/>
    </row>
    <row r="17" spans="1:7" ht="12" customHeight="1">
      <c r="A17" s="5">
        <v>10</v>
      </c>
      <c r="B17" s="11" t="str">
        <f t="shared" si="0"/>
        <v/>
      </c>
      <c r="C17" s="15"/>
      <c r="D17" s="16"/>
      <c r="E17" s="15"/>
      <c r="F17" s="15"/>
      <c r="G17" s="17"/>
    </row>
    <row r="18" spans="1:7" ht="12" customHeight="1">
      <c r="A18" s="5">
        <v>11</v>
      </c>
      <c r="B18" s="11" t="str">
        <f t="shared" si="0"/>
        <v/>
      </c>
      <c r="C18" s="15"/>
      <c r="D18" s="16"/>
      <c r="E18" s="15"/>
      <c r="F18" s="15"/>
      <c r="G18" s="17"/>
    </row>
    <row r="19" spans="1:7" ht="12" customHeight="1">
      <c r="A19" s="5">
        <v>12</v>
      </c>
      <c r="B19" s="11" t="str">
        <f t="shared" si="0"/>
        <v/>
      </c>
      <c r="C19" s="15"/>
      <c r="D19" s="16"/>
      <c r="E19" s="15"/>
      <c r="F19" s="15"/>
      <c r="G19" s="17"/>
    </row>
    <row r="20" spans="1:7" ht="12" customHeight="1">
      <c r="A20" s="5">
        <v>13</v>
      </c>
      <c r="B20" s="11" t="str">
        <f t="shared" si="0"/>
        <v/>
      </c>
      <c r="C20" s="15"/>
      <c r="D20" s="16"/>
      <c r="E20" s="15"/>
      <c r="F20" s="15"/>
      <c r="G20" s="17"/>
    </row>
    <row r="21" spans="1:7" ht="12" customHeight="1">
      <c r="A21" s="5">
        <v>14</v>
      </c>
      <c r="B21" s="11" t="str">
        <f t="shared" si="0"/>
        <v/>
      </c>
      <c r="C21" s="15"/>
      <c r="D21" s="16"/>
      <c r="E21" s="15"/>
      <c r="F21" s="15"/>
      <c r="G21" s="17"/>
    </row>
    <row r="22" spans="1:7" ht="12" customHeight="1">
      <c r="A22" s="5">
        <v>15</v>
      </c>
      <c r="B22" s="11" t="str">
        <f t="shared" si="0"/>
        <v/>
      </c>
      <c r="C22" s="15"/>
      <c r="D22" s="16"/>
      <c r="E22" s="15"/>
      <c r="F22" s="15"/>
      <c r="G22" s="17"/>
    </row>
    <row r="23" spans="1:7" ht="12" customHeight="1">
      <c r="A23" s="5">
        <v>16</v>
      </c>
      <c r="B23" s="11" t="str">
        <f t="shared" si="0"/>
        <v/>
      </c>
      <c r="C23" s="15"/>
      <c r="D23" s="16"/>
      <c r="E23" s="15"/>
      <c r="F23" s="15"/>
      <c r="G23" s="17"/>
    </row>
    <row r="24" spans="1:7" ht="12" customHeight="1">
      <c r="A24" s="5">
        <v>17</v>
      </c>
      <c r="B24" s="11" t="str">
        <f t="shared" si="0"/>
        <v/>
      </c>
      <c r="C24" s="15"/>
      <c r="D24" s="16"/>
      <c r="E24" s="15"/>
      <c r="F24" s="15"/>
      <c r="G24" s="17"/>
    </row>
    <row r="25" spans="1:7" ht="12" customHeight="1">
      <c r="A25" s="5">
        <v>18</v>
      </c>
      <c r="B25" s="11" t="str">
        <f t="shared" si="0"/>
        <v/>
      </c>
      <c r="C25" s="15"/>
      <c r="D25" s="16"/>
      <c r="E25" s="15"/>
      <c r="F25" s="15"/>
      <c r="G25" s="17"/>
    </row>
    <row r="26" spans="1:7" ht="12" customHeight="1">
      <c r="A26" s="5">
        <v>19</v>
      </c>
      <c r="B26" s="11" t="str">
        <f t="shared" si="0"/>
        <v/>
      </c>
      <c r="C26" s="15"/>
      <c r="D26" s="16"/>
      <c r="E26" s="15"/>
      <c r="F26" s="15"/>
      <c r="G26" s="17"/>
    </row>
    <row r="27" spans="1:7" ht="12" customHeight="1">
      <c r="A27" s="5">
        <v>20</v>
      </c>
      <c r="B27" s="11" t="str">
        <f t="shared" si="0"/>
        <v/>
      </c>
      <c r="C27" s="15"/>
      <c r="D27" s="16"/>
      <c r="E27" s="15"/>
      <c r="F27" s="15"/>
      <c r="G27" s="17"/>
    </row>
    <row r="28" spans="1:7" ht="12" customHeight="1">
      <c r="A28" s="5">
        <v>21</v>
      </c>
      <c r="B28" s="11" t="str">
        <f t="shared" si="0"/>
        <v/>
      </c>
      <c r="C28" s="15"/>
      <c r="D28" s="16"/>
      <c r="E28" s="15"/>
      <c r="F28" s="15"/>
      <c r="G28" s="17"/>
    </row>
    <row r="29" spans="1:7" ht="12" customHeight="1">
      <c r="A29" s="5">
        <v>22</v>
      </c>
      <c r="B29" s="11" t="str">
        <f t="shared" si="0"/>
        <v/>
      </c>
      <c r="C29" s="15"/>
      <c r="D29" s="16"/>
      <c r="E29" s="15"/>
      <c r="F29" s="15"/>
      <c r="G29" s="17"/>
    </row>
    <row r="30" spans="1:7" ht="12" customHeight="1">
      <c r="A30" s="5">
        <v>23</v>
      </c>
      <c r="B30" s="11" t="str">
        <f t="shared" si="0"/>
        <v/>
      </c>
      <c r="C30" s="15"/>
      <c r="D30" s="16"/>
      <c r="E30" s="15"/>
      <c r="F30" s="15"/>
      <c r="G30" s="17"/>
    </row>
    <row r="31" spans="1:7" ht="12" customHeight="1">
      <c r="A31" s="5">
        <v>24</v>
      </c>
      <c r="B31" s="11" t="str">
        <f t="shared" si="0"/>
        <v/>
      </c>
      <c r="C31" s="15"/>
      <c r="D31" s="16"/>
      <c r="E31" s="15"/>
      <c r="F31" s="15"/>
      <c r="G31" s="17"/>
    </row>
    <row r="32" spans="1:7" ht="12" customHeight="1">
      <c r="A32" s="5">
        <v>25</v>
      </c>
      <c r="B32" s="11" t="str">
        <f t="shared" si="0"/>
        <v/>
      </c>
      <c r="C32" s="15"/>
      <c r="D32" s="16"/>
      <c r="E32" s="15"/>
      <c r="F32" s="15"/>
      <c r="G32" s="17"/>
    </row>
    <row r="33" spans="1:7" ht="12" customHeight="1">
      <c r="A33" s="5">
        <v>26</v>
      </c>
      <c r="B33" s="11" t="str">
        <f t="shared" si="0"/>
        <v/>
      </c>
      <c r="C33" s="15"/>
      <c r="D33" s="16"/>
      <c r="E33" s="15"/>
      <c r="F33" s="15"/>
      <c r="G33" s="17"/>
    </row>
    <row r="34" spans="1:7" ht="12" customHeight="1">
      <c r="A34" s="5">
        <v>27</v>
      </c>
      <c r="B34" s="11" t="str">
        <f t="shared" si="0"/>
        <v/>
      </c>
      <c r="C34" s="15"/>
      <c r="D34" s="16"/>
      <c r="E34" s="15"/>
      <c r="F34" s="15"/>
      <c r="G34" s="17"/>
    </row>
    <row r="35" spans="1:7" ht="12" customHeight="1">
      <c r="A35" s="5">
        <v>28</v>
      </c>
      <c r="B35" s="11" t="str">
        <f t="shared" si="0"/>
        <v/>
      </c>
      <c r="C35" s="15"/>
      <c r="D35" s="16"/>
      <c r="E35" s="15"/>
      <c r="F35" s="15"/>
      <c r="G35" s="17"/>
    </row>
    <row r="36" spans="1:7" ht="12" customHeight="1">
      <c r="A36" s="5">
        <v>29</v>
      </c>
      <c r="B36" s="11" t="str">
        <f t="shared" si="0"/>
        <v/>
      </c>
      <c r="C36" s="15"/>
      <c r="D36" s="16"/>
      <c r="E36" s="15"/>
      <c r="F36" s="15"/>
      <c r="G36" s="17"/>
    </row>
    <row r="37" spans="1:7" ht="12" customHeight="1">
      <c r="A37" s="5">
        <v>30</v>
      </c>
      <c r="B37" s="11" t="str">
        <f t="shared" si="0"/>
        <v/>
      </c>
      <c r="C37" s="15"/>
      <c r="D37" s="16"/>
      <c r="E37" s="15"/>
      <c r="F37" s="15"/>
      <c r="G37" s="17"/>
    </row>
    <row r="38" spans="1:7" ht="12" customHeight="1">
      <c r="A38" s="5">
        <v>31</v>
      </c>
      <c r="B38" s="11" t="str">
        <f t="shared" si="0"/>
        <v/>
      </c>
      <c r="C38" s="15"/>
      <c r="D38" s="16"/>
      <c r="E38" s="15"/>
      <c r="F38" s="15"/>
      <c r="G38" s="17"/>
    </row>
    <row r="39" spans="1:7" ht="12" customHeight="1">
      <c r="A39" s="5">
        <v>32</v>
      </c>
      <c r="B39" s="11" t="str">
        <f t="shared" si="0"/>
        <v/>
      </c>
      <c r="C39" s="15"/>
      <c r="D39" s="16"/>
      <c r="E39" s="15"/>
      <c r="F39" s="15"/>
      <c r="G39" s="17"/>
    </row>
    <row r="40" spans="1:7" ht="12" customHeight="1">
      <c r="A40" s="5">
        <v>33</v>
      </c>
      <c r="B40" s="11" t="str">
        <f t="shared" si="0"/>
        <v/>
      </c>
      <c r="C40" s="15"/>
      <c r="D40" s="16"/>
      <c r="E40" s="15"/>
      <c r="F40" s="15"/>
      <c r="G40" s="17"/>
    </row>
    <row r="41" spans="1:7" ht="12" customHeight="1">
      <c r="A41" s="5">
        <v>34</v>
      </c>
      <c r="B41" s="11" t="str">
        <f t="shared" si="0"/>
        <v/>
      </c>
      <c r="C41" s="15"/>
      <c r="D41" s="16"/>
      <c r="E41" s="15"/>
      <c r="F41" s="15"/>
      <c r="G41" s="17"/>
    </row>
    <row r="42" spans="1:7" ht="12" customHeight="1">
      <c r="A42" s="5">
        <v>35</v>
      </c>
      <c r="B42" s="11" t="str">
        <f t="shared" si="0"/>
        <v/>
      </c>
      <c r="C42" s="15"/>
      <c r="D42" s="16"/>
      <c r="E42" s="15"/>
      <c r="F42" s="15"/>
      <c r="G42" s="17"/>
    </row>
    <row r="43" spans="1:7" ht="12" customHeight="1">
      <c r="A43" s="5">
        <v>36</v>
      </c>
      <c r="B43" s="11" t="str">
        <f t="shared" si="0"/>
        <v/>
      </c>
      <c r="C43" s="15"/>
      <c r="D43" s="16"/>
      <c r="E43" s="15"/>
      <c r="F43" s="15"/>
      <c r="G43" s="17"/>
    </row>
    <row r="44" spans="1:7" ht="12" customHeight="1">
      <c r="A44" s="5">
        <v>37</v>
      </c>
      <c r="B44" s="11" t="str">
        <f t="shared" si="0"/>
        <v/>
      </c>
      <c r="C44" s="15"/>
      <c r="D44" s="16"/>
      <c r="E44" s="15"/>
      <c r="F44" s="15"/>
      <c r="G44" s="17"/>
    </row>
    <row r="45" spans="1:7" ht="12" customHeight="1">
      <c r="A45" s="5">
        <v>38</v>
      </c>
      <c r="B45" s="11" t="str">
        <f t="shared" si="0"/>
        <v/>
      </c>
      <c r="C45" s="15"/>
      <c r="D45" s="16"/>
      <c r="E45" s="15"/>
      <c r="F45" s="15"/>
      <c r="G45" s="17"/>
    </row>
    <row r="46" spans="1:7" ht="12" customHeight="1">
      <c r="A46" s="5">
        <v>39</v>
      </c>
      <c r="B46" s="11" t="str">
        <f t="shared" si="0"/>
        <v/>
      </c>
      <c r="C46" s="15"/>
      <c r="D46" s="16"/>
      <c r="E46" s="15"/>
      <c r="F46" s="15"/>
      <c r="G46" s="17"/>
    </row>
    <row r="47" spans="1:7" ht="12" customHeight="1">
      <c r="A47" s="5">
        <v>40</v>
      </c>
      <c r="B47" s="11" t="str">
        <f t="shared" si="0"/>
        <v/>
      </c>
      <c r="C47" s="15"/>
      <c r="D47" s="16"/>
      <c r="E47" s="15"/>
      <c r="F47" s="15"/>
      <c r="G47" s="17"/>
    </row>
    <row r="48" spans="1:7" ht="12" customHeight="1">
      <c r="A48" s="5">
        <v>41</v>
      </c>
      <c r="B48" s="11" t="str">
        <f t="shared" si="0"/>
        <v/>
      </c>
      <c r="C48" s="15"/>
      <c r="D48" s="16"/>
      <c r="E48" s="15"/>
      <c r="F48" s="15"/>
      <c r="G48" s="17"/>
    </row>
    <row r="49" spans="1:7" ht="12" customHeight="1">
      <c r="A49" s="5">
        <v>42</v>
      </c>
      <c r="B49" s="11" t="str">
        <f t="shared" si="0"/>
        <v/>
      </c>
      <c r="C49" s="15"/>
      <c r="D49" s="16"/>
      <c r="E49" s="15"/>
      <c r="F49" s="15"/>
      <c r="G49" s="17"/>
    </row>
    <row r="50" spans="1:7" ht="12" customHeight="1">
      <c r="A50" s="5">
        <v>43</v>
      </c>
      <c r="B50" s="11" t="str">
        <f t="shared" si="0"/>
        <v/>
      </c>
      <c r="C50" s="15"/>
      <c r="D50" s="16"/>
      <c r="E50" s="15"/>
      <c r="F50" s="15"/>
      <c r="G50" s="17"/>
    </row>
    <row r="51" spans="1:7" ht="12" customHeight="1">
      <c r="A51" s="5">
        <v>44</v>
      </c>
      <c r="B51" s="11" t="str">
        <f t="shared" si="0"/>
        <v/>
      </c>
      <c r="C51" s="15"/>
      <c r="D51" s="16"/>
      <c r="E51" s="15"/>
      <c r="F51" s="15"/>
      <c r="G51" s="17"/>
    </row>
    <row r="52" spans="1:7" ht="12" customHeight="1">
      <c r="A52" s="5">
        <v>45</v>
      </c>
      <c r="B52" s="11" t="str">
        <f t="shared" si="0"/>
        <v/>
      </c>
      <c r="C52" s="15"/>
      <c r="D52" s="16"/>
      <c r="E52" s="15"/>
      <c r="F52" s="15"/>
      <c r="G52" s="17"/>
    </row>
    <row r="53" spans="1:7" ht="12" customHeight="1">
      <c r="A53" s="5">
        <v>46</v>
      </c>
      <c r="B53" s="11" t="str">
        <f t="shared" si="0"/>
        <v/>
      </c>
      <c r="C53" s="15"/>
      <c r="D53" s="16"/>
      <c r="E53" s="15"/>
      <c r="F53" s="15"/>
      <c r="G53" s="17"/>
    </row>
    <row r="54" spans="1:7" ht="12" customHeight="1">
      <c r="A54" s="5">
        <v>47</v>
      </c>
      <c r="B54" s="11" t="str">
        <f t="shared" si="0"/>
        <v/>
      </c>
      <c r="C54" s="15"/>
      <c r="D54" s="16"/>
      <c r="E54" s="15"/>
      <c r="F54" s="15"/>
      <c r="G54" s="17"/>
    </row>
    <row r="55" spans="1:7" ht="12" customHeight="1">
      <c r="A55" s="5">
        <v>48</v>
      </c>
      <c r="B55" s="11" t="str">
        <f t="shared" si="0"/>
        <v/>
      </c>
      <c r="C55" s="15"/>
      <c r="D55" s="16"/>
      <c r="E55" s="15"/>
      <c r="F55" s="15"/>
      <c r="G55" s="17"/>
    </row>
    <row r="56" spans="1:7" ht="12" customHeight="1">
      <c r="A56" s="5">
        <v>49</v>
      </c>
      <c r="B56" s="11" t="str">
        <f t="shared" si="0"/>
        <v/>
      </c>
      <c r="C56" s="15"/>
      <c r="D56" s="16"/>
      <c r="E56" s="15"/>
      <c r="F56" s="15"/>
      <c r="G56" s="17"/>
    </row>
    <row r="57" spans="1:7" ht="12" customHeight="1">
      <c r="A57" s="5">
        <v>50</v>
      </c>
      <c r="B57" s="11" t="str">
        <f t="shared" si="0"/>
        <v/>
      </c>
      <c r="C57" s="15"/>
      <c r="D57" s="16"/>
      <c r="E57" s="15"/>
      <c r="F57" s="15"/>
      <c r="G57" s="17"/>
    </row>
    <row r="58" spans="1:7" ht="12" customHeight="1">
      <c r="A58" s="5">
        <v>51</v>
      </c>
      <c r="B58" s="11" t="str">
        <f t="shared" si="0"/>
        <v/>
      </c>
      <c r="C58" s="15"/>
      <c r="D58" s="16"/>
      <c r="E58" s="15"/>
      <c r="F58" s="15"/>
      <c r="G58" s="17"/>
    </row>
    <row r="59" spans="1:7" ht="12" customHeight="1">
      <c r="A59" s="5">
        <v>52</v>
      </c>
      <c r="B59" s="11" t="str">
        <f t="shared" si="0"/>
        <v/>
      </c>
      <c r="C59" s="15"/>
      <c r="D59" s="16"/>
      <c r="E59" s="15"/>
      <c r="F59" s="15"/>
      <c r="G59" s="17"/>
    </row>
    <row r="60" spans="1:7" ht="12" customHeight="1">
      <c r="A60" s="5">
        <v>53</v>
      </c>
      <c r="B60" s="11" t="str">
        <f t="shared" si="0"/>
        <v/>
      </c>
      <c r="C60" s="15"/>
      <c r="D60" s="16"/>
      <c r="E60" s="15"/>
      <c r="F60" s="15"/>
      <c r="G60" s="17"/>
    </row>
    <row r="61" spans="1:7" ht="12" customHeight="1">
      <c r="A61" s="5">
        <v>54</v>
      </c>
      <c r="B61" s="11" t="str">
        <f t="shared" si="0"/>
        <v/>
      </c>
      <c r="C61" s="15"/>
      <c r="D61" s="16"/>
      <c r="E61" s="15"/>
      <c r="F61" s="15"/>
      <c r="G61" s="17"/>
    </row>
    <row r="62" spans="1:7" ht="12" customHeight="1">
      <c r="A62" s="5">
        <v>55</v>
      </c>
      <c r="B62" s="11" t="str">
        <f t="shared" si="0"/>
        <v/>
      </c>
      <c r="C62" s="15"/>
      <c r="D62" s="16"/>
      <c r="E62" s="15"/>
      <c r="F62" s="15"/>
      <c r="G62" s="17"/>
    </row>
    <row r="63" spans="1:7" ht="12" customHeight="1">
      <c r="A63" s="5">
        <v>56</v>
      </c>
      <c r="B63" s="11" t="str">
        <f t="shared" si="0"/>
        <v/>
      </c>
      <c r="C63" s="15"/>
      <c r="D63" s="16"/>
      <c r="E63" s="15"/>
      <c r="F63" s="15"/>
      <c r="G63" s="17"/>
    </row>
    <row r="64" spans="1:7" ht="12" customHeight="1">
      <c r="A64" s="5">
        <v>57</v>
      </c>
      <c r="B64" s="11" t="str">
        <f t="shared" si="0"/>
        <v/>
      </c>
      <c r="C64" s="15"/>
      <c r="D64" s="16"/>
      <c r="E64" s="15"/>
      <c r="F64" s="15"/>
      <c r="G64" s="17"/>
    </row>
    <row r="65" spans="1:7" ht="12" customHeight="1">
      <c r="A65" s="5">
        <v>58</v>
      </c>
      <c r="B65" s="11" t="str">
        <f t="shared" si="0"/>
        <v/>
      </c>
      <c r="C65" s="15"/>
      <c r="D65" s="16"/>
      <c r="E65" s="15"/>
      <c r="F65" s="15"/>
      <c r="G65" s="17"/>
    </row>
    <row r="66" spans="1:7" ht="12" customHeight="1">
      <c r="A66" s="5">
        <v>59</v>
      </c>
      <c r="B66" s="11" t="str">
        <f t="shared" si="0"/>
        <v/>
      </c>
      <c r="C66" s="15"/>
      <c r="D66" s="16"/>
      <c r="E66" s="15"/>
      <c r="F66" s="15"/>
      <c r="G66" s="17"/>
    </row>
    <row r="67" spans="1:7" ht="12" customHeight="1">
      <c r="A67" s="5">
        <v>60</v>
      </c>
      <c r="B67" s="11" t="str">
        <f t="shared" si="0"/>
        <v/>
      </c>
      <c r="C67" s="15"/>
      <c r="D67" s="16"/>
      <c r="E67" s="15"/>
      <c r="F67" s="15"/>
      <c r="G67" s="17"/>
    </row>
    <row r="68" spans="1:7" ht="12" customHeight="1">
      <c r="A68" s="5">
        <v>61</v>
      </c>
      <c r="B68" s="11" t="str">
        <f t="shared" si="0"/>
        <v/>
      </c>
      <c r="C68" s="15"/>
      <c r="D68" s="16"/>
      <c r="E68" s="15"/>
      <c r="F68" s="15"/>
      <c r="G68" s="17"/>
    </row>
    <row r="69" spans="1:7" ht="12" customHeight="1">
      <c r="A69" s="5">
        <v>62</v>
      </c>
      <c r="B69" s="11" t="str">
        <f t="shared" si="0"/>
        <v/>
      </c>
      <c r="C69" s="15"/>
      <c r="D69" s="16"/>
      <c r="E69" s="15"/>
      <c r="F69" s="15"/>
      <c r="G69" s="17"/>
    </row>
    <row r="70" spans="1:7" ht="12" customHeight="1">
      <c r="A70" s="5">
        <v>63</v>
      </c>
      <c r="B70" s="11" t="str">
        <f t="shared" si="0"/>
        <v/>
      </c>
      <c r="C70" s="15"/>
      <c r="D70" s="16"/>
      <c r="E70" s="15"/>
      <c r="F70" s="15"/>
      <c r="G70" s="17"/>
    </row>
    <row r="71" spans="1:7" ht="12" customHeight="1">
      <c r="A71" s="5">
        <v>64</v>
      </c>
      <c r="B71" s="11" t="str">
        <f t="shared" si="0"/>
        <v/>
      </c>
      <c r="C71" s="15"/>
      <c r="D71" s="16"/>
      <c r="E71" s="15"/>
      <c r="F71" s="15"/>
      <c r="G71" s="17"/>
    </row>
    <row r="72" spans="1:7" ht="12" customHeight="1">
      <c r="A72" s="5">
        <v>65</v>
      </c>
      <c r="B72" s="11" t="str">
        <f t="shared" si="0"/>
        <v/>
      </c>
      <c r="C72" s="15"/>
      <c r="D72" s="16"/>
      <c r="E72" s="15"/>
      <c r="F72" s="15"/>
      <c r="G72" s="17"/>
    </row>
    <row r="73" spans="1:7" ht="12" customHeight="1">
      <c r="A73" s="5">
        <v>66</v>
      </c>
      <c r="B73" s="11" t="str">
        <f t="shared" ref="B73:B136" si="3">IF(D73="","",(DATEDIF(D73,$G$6,"Y")))</f>
        <v/>
      </c>
      <c r="C73" s="15"/>
      <c r="D73" s="16"/>
      <c r="E73" s="15"/>
      <c r="F73" s="15"/>
      <c r="G73" s="17"/>
    </row>
    <row r="74" spans="1:7" ht="12" customHeight="1">
      <c r="A74" s="5">
        <v>67</v>
      </c>
      <c r="B74" s="11" t="str">
        <f t="shared" si="3"/>
        <v/>
      </c>
      <c r="C74" s="15"/>
      <c r="D74" s="16"/>
      <c r="E74" s="15"/>
      <c r="F74" s="15"/>
      <c r="G74" s="17"/>
    </row>
    <row r="75" spans="1:7" ht="12" customHeight="1">
      <c r="A75" s="5">
        <v>68</v>
      </c>
      <c r="B75" s="11" t="str">
        <f t="shared" si="3"/>
        <v/>
      </c>
      <c r="C75" s="15"/>
      <c r="D75" s="16"/>
      <c r="E75" s="15"/>
      <c r="F75" s="15"/>
      <c r="G75" s="17"/>
    </row>
    <row r="76" spans="1:7" ht="12" customHeight="1">
      <c r="A76" s="5">
        <v>69</v>
      </c>
      <c r="B76" s="11" t="str">
        <f t="shared" si="3"/>
        <v/>
      </c>
      <c r="C76" s="15"/>
      <c r="D76" s="16"/>
      <c r="E76" s="15"/>
      <c r="F76" s="15"/>
      <c r="G76" s="17"/>
    </row>
    <row r="77" spans="1:7" ht="12" customHeight="1">
      <c r="A77" s="5">
        <v>70</v>
      </c>
      <c r="B77" s="11" t="str">
        <f t="shared" si="3"/>
        <v/>
      </c>
      <c r="C77" s="15"/>
      <c r="D77" s="16"/>
      <c r="E77" s="15"/>
      <c r="F77" s="15"/>
      <c r="G77" s="17"/>
    </row>
    <row r="78" spans="1:7" ht="12" customHeight="1">
      <c r="A78" s="5">
        <v>71</v>
      </c>
      <c r="B78" s="11" t="str">
        <f t="shared" si="3"/>
        <v/>
      </c>
      <c r="C78" s="15"/>
      <c r="D78" s="16"/>
      <c r="E78" s="15"/>
      <c r="F78" s="15"/>
      <c r="G78" s="17"/>
    </row>
    <row r="79" spans="1:7" ht="12" customHeight="1">
      <c r="A79" s="5">
        <v>72</v>
      </c>
      <c r="B79" s="11" t="str">
        <f t="shared" si="3"/>
        <v/>
      </c>
      <c r="C79" s="15"/>
      <c r="D79" s="16"/>
      <c r="E79" s="15"/>
      <c r="F79" s="15"/>
      <c r="G79" s="17"/>
    </row>
    <row r="80" spans="1:7" ht="12" customHeight="1">
      <c r="A80" s="5">
        <v>73</v>
      </c>
      <c r="B80" s="11" t="str">
        <f t="shared" si="3"/>
        <v/>
      </c>
      <c r="C80" s="15"/>
      <c r="D80" s="16"/>
      <c r="E80" s="15"/>
      <c r="F80" s="15"/>
      <c r="G80" s="17"/>
    </row>
    <row r="81" spans="1:7" ht="12" customHeight="1">
      <c r="A81" s="5">
        <v>74</v>
      </c>
      <c r="B81" s="11" t="str">
        <f t="shared" si="3"/>
        <v/>
      </c>
      <c r="C81" s="15"/>
      <c r="D81" s="16"/>
      <c r="E81" s="15"/>
      <c r="F81" s="15"/>
      <c r="G81" s="17"/>
    </row>
    <row r="82" spans="1:7" ht="12" customHeight="1">
      <c r="A82" s="5">
        <v>75</v>
      </c>
      <c r="B82" s="11" t="str">
        <f t="shared" si="3"/>
        <v/>
      </c>
      <c r="C82" s="15"/>
      <c r="D82" s="16"/>
      <c r="E82" s="15"/>
      <c r="F82" s="15"/>
      <c r="G82" s="17"/>
    </row>
    <row r="83" spans="1:7" ht="12" customHeight="1">
      <c r="A83" s="5">
        <v>76</v>
      </c>
      <c r="B83" s="11" t="str">
        <f t="shared" si="3"/>
        <v/>
      </c>
      <c r="C83" s="15"/>
      <c r="D83" s="16"/>
      <c r="E83" s="15"/>
      <c r="F83" s="15"/>
      <c r="G83" s="17"/>
    </row>
    <row r="84" spans="1:7" ht="12" customHeight="1">
      <c r="A84" s="5">
        <v>77</v>
      </c>
      <c r="B84" s="11" t="str">
        <f t="shared" si="3"/>
        <v/>
      </c>
      <c r="C84" s="15"/>
      <c r="D84" s="16"/>
      <c r="E84" s="15"/>
      <c r="F84" s="15"/>
      <c r="G84" s="17"/>
    </row>
    <row r="85" spans="1:7" ht="12" customHeight="1">
      <c r="A85" s="5">
        <v>78</v>
      </c>
      <c r="B85" s="11" t="str">
        <f t="shared" si="3"/>
        <v/>
      </c>
      <c r="C85" s="15"/>
      <c r="D85" s="16"/>
      <c r="E85" s="15"/>
      <c r="F85" s="15"/>
      <c r="G85" s="17"/>
    </row>
    <row r="86" spans="1:7" ht="12" customHeight="1">
      <c r="A86" s="5">
        <v>79</v>
      </c>
      <c r="B86" s="11" t="str">
        <f t="shared" si="3"/>
        <v/>
      </c>
      <c r="C86" s="15"/>
      <c r="D86" s="16"/>
      <c r="E86" s="15"/>
      <c r="F86" s="15"/>
      <c r="G86" s="17"/>
    </row>
    <row r="87" spans="1:7" ht="12" customHeight="1">
      <c r="A87" s="5">
        <v>80</v>
      </c>
      <c r="B87" s="11" t="str">
        <f t="shared" si="3"/>
        <v/>
      </c>
      <c r="C87" s="15"/>
      <c r="D87" s="16"/>
      <c r="E87" s="15"/>
      <c r="F87" s="15"/>
      <c r="G87" s="17"/>
    </row>
    <row r="88" spans="1:7" ht="12" customHeight="1">
      <c r="A88" s="5">
        <v>81</v>
      </c>
      <c r="B88" s="11" t="str">
        <f t="shared" si="3"/>
        <v/>
      </c>
      <c r="C88" s="15"/>
      <c r="D88" s="16"/>
      <c r="E88" s="15"/>
      <c r="F88" s="15"/>
      <c r="G88" s="17"/>
    </row>
    <row r="89" spans="1:7" ht="12" customHeight="1">
      <c r="A89" s="5">
        <v>82</v>
      </c>
      <c r="B89" s="11" t="str">
        <f t="shared" si="3"/>
        <v/>
      </c>
      <c r="C89" s="15"/>
      <c r="D89" s="16"/>
      <c r="E89" s="15"/>
      <c r="F89" s="15"/>
      <c r="G89" s="17"/>
    </row>
    <row r="90" spans="1:7" ht="12" customHeight="1">
      <c r="A90" s="5">
        <v>83</v>
      </c>
      <c r="B90" s="11" t="str">
        <f t="shared" si="3"/>
        <v/>
      </c>
      <c r="C90" s="15"/>
      <c r="D90" s="16"/>
      <c r="E90" s="15"/>
      <c r="F90" s="15"/>
      <c r="G90" s="17"/>
    </row>
    <row r="91" spans="1:7" ht="12" customHeight="1">
      <c r="A91" s="5">
        <v>84</v>
      </c>
      <c r="B91" s="11" t="str">
        <f t="shared" si="3"/>
        <v/>
      </c>
      <c r="C91" s="15"/>
      <c r="D91" s="16"/>
      <c r="E91" s="15"/>
      <c r="F91" s="15"/>
      <c r="G91" s="17"/>
    </row>
    <row r="92" spans="1:7" ht="12" customHeight="1">
      <c r="A92" s="5">
        <v>85</v>
      </c>
      <c r="B92" s="11" t="str">
        <f t="shared" si="3"/>
        <v/>
      </c>
      <c r="C92" s="15"/>
      <c r="D92" s="16"/>
      <c r="E92" s="15"/>
      <c r="F92" s="15"/>
      <c r="G92" s="17"/>
    </row>
    <row r="93" spans="1:7" ht="12" customHeight="1">
      <c r="A93" s="5">
        <v>86</v>
      </c>
      <c r="B93" s="11" t="str">
        <f t="shared" si="3"/>
        <v/>
      </c>
      <c r="C93" s="15"/>
      <c r="D93" s="16"/>
      <c r="E93" s="15"/>
      <c r="F93" s="15"/>
      <c r="G93" s="17"/>
    </row>
    <row r="94" spans="1:7" ht="12" customHeight="1">
      <c r="A94" s="5">
        <v>87</v>
      </c>
      <c r="B94" s="11" t="str">
        <f t="shared" si="3"/>
        <v/>
      </c>
      <c r="C94" s="15"/>
      <c r="D94" s="16"/>
      <c r="E94" s="15"/>
      <c r="F94" s="15"/>
      <c r="G94" s="17"/>
    </row>
    <row r="95" spans="1:7" ht="12" customHeight="1">
      <c r="A95" s="5">
        <v>88</v>
      </c>
      <c r="B95" s="11" t="str">
        <f t="shared" si="3"/>
        <v/>
      </c>
      <c r="C95" s="15"/>
      <c r="D95" s="16"/>
      <c r="E95" s="15"/>
      <c r="F95" s="15"/>
      <c r="G95" s="17"/>
    </row>
    <row r="96" spans="1:7" ht="12" customHeight="1">
      <c r="A96" s="5">
        <v>89</v>
      </c>
      <c r="B96" s="11" t="str">
        <f t="shared" si="3"/>
        <v/>
      </c>
      <c r="C96" s="15"/>
      <c r="D96" s="16"/>
      <c r="E96" s="15"/>
      <c r="F96" s="15"/>
      <c r="G96" s="17"/>
    </row>
    <row r="97" spans="1:7" ht="12" customHeight="1">
      <c r="A97" s="5">
        <v>90</v>
      </c>
      <c r="B97" s="11" t="str">
        <f t="shared" si="3"/>
        <v/>
      </c>
      <c r="C97" s="15"/>
      <c r="D97" s="16"/>
      <c r="E97" s="15"/>
      <c r="F97" s="15"/>
      <c r="G97" s="17"/>
    </row>
    <row r="98" spans="1:7" ht="12" customHeight="1">
      <c r="A98" s="5">
        <v>91</v>
      </c>
      <c r="B98" s="11" t="str">
        <f t="shared" si="3"/>
        <v/>
      </c>
      <c r="C98" s="15"/>
      <c r="D98" s="16"/>
      <c r="E98" s="15"/>
      <c r="F98" s="15"/>
      <c r="G98" s="17"/>
    </row>
    <row r="99" spans="1:7" ht="12" customHeight="1">
      <c r="A99" s="5">
        <v>92</v>
      </c>
      <c r="B99" s="11" t="str">
        <f t="shared" si="3"/>
        <v/>
      </c>
      <c r="C99" s="15"/>
      <c r="D99" s="16"/>
      <c r="E99" s="15"/>
      <c r="F99" s="15"/>
      <c r="G99" s="17"/>
    </row>
    <row r="100" spans="1:7" ht="12" customHeight="1">
      <c r="A100" s="5">
        <v>93</v>
      </c>
      <c r="B100" s="11" t="str">
        <f t="shared" si="3"/>
        <v/>
      </c>
      <c r="C100" s="15"/>
      <c r="D100" s="16"/>
      <c r="E100" s="15"/>
      <c r="F100" s="15"/>
      <c r="G100" s="17"/>
    </row>
    <row r="101" spans="1:7" ht="12" customHeight="1">
      <c r="A101" s="5">
        <v>94</v>
      </c>
      <c r="B101" s="11" t="str">
        <f t="shared" si="3"/>
        <v/>
      </c>
      <c r="C101" s="15"/>
      <c r="D101" s="16"/>
      <c r="E101" s="15"/>
      <c r="F101" s="15"/>
      <c r="G101" s="17"/>
    </row>
    <row r="102" spans="1:7" ht="12" customHeight="1">
      <c r="A102" s="5">
        <v>95</v>
      </c>
      <c r="B102" s="11" t="str">
        <f t="shared" si="3"/>
        <v/>
      </c>
      <c r="C102" s="15"/>
      <c r="D102" s="16"/>
      <c r="E102" s="15"/>
      <c r="F102" s="15"/>
      <c r="G102" s="17"/>
    </row>
    <row r="103" spans="1:7" ht="12" customHeight="1">
      <c r="A103" s="5">
        <v>96</v>
      </c>
      <c r="B103" s="11" t="str">
        <f t="shared" si="3"/>
        <v/>
      </c>
      <c r="C103" s="15"/>
      <c r="D103" s="16"/>
      <c r="E103" s="15"/>
      <c r="F103" s="15"/>
      <c r="G103" s="17"/>
    </row>
    <row r="104" spans="1:7" ht="12" customHeight="1">
      <c r="A104" s="5">
        <v>97</v>
      </c>
      <c r="B104" s="11" t="str">
        <f t="shared" si="3"/>
        <v/>
      </c>
      <c r="C104" s="15"/>
      <c r="D104" s="16"/>
      <c r="E104" s="15"/>
      <c r="F104" s="15"/>
      <c r="G104" s="17"/>
    </row>
    <row r="105" spans="1:7" ht="12" customHeight="1">
      <c r="A105" s="5">
        <v>98</v>
      </c>
      <c r="B105" s="11" t="str">
        <f t="shared" si="3"/>
        <v/>
      </c>
      <c r="C105" s="15"/>
      <c r="D105" s="16"/>
      <c r="E105" s="15"/>
      <c r="F105" s="15"/>
      <c r="G105" s="17"/>
    </row>
    <row r="106" spans="1:7" ht="12" customHeight="1">
      <c r="A106" s="5">
        <v>99</v>
      </c>
      <c r="B106" s="11" t="str">
        <f t="shared" si="3"/>
        <v/>
      </c>
      <c r="C106" s="15"/>
      <c r="D106" s="16"/>
      <c r="E106" s="15"/>
      <c r="F106" s="15"/>
      <c r="G106" s="17"/>
    </row>
    <row r="107" spans="1:7" ht="12" customHeight="1">
      <c r="A107" s="5">
        <v>100</v>
      </c>
      <c r="B107" s="11" t="str">
        <f t="shared" si="3"/>
        <v/>
      </c>
      <c r="C107" s="15"/>
      <c r="D107" s="16"/>
      <c r="E107" s="15"/>
      <c r="F107" s="15"/>
      <c r="G107" s="17"/>
    </row>
    <row r="108" spans="1:7" ht="12" customHeight="1">
      <c r="A108" s="5">
        <v>101</v>
      </c>
      <c r="B108" s="11" t="str">
        <f t="shared" si="3"/>
        <v/>
      </c>
      <c r="C108" s="15"/>
      <c r="D108" s="16"/>
      <c r="E108" s="15"/>
      <c r="F108" s="15"/>
      <c r="G108" s="17"/>
    </row>
    <row r="109" spans="1:7" ht="12" customHeight="1">
      <c r="A109" s="5">
        <v>102</v>
      </c>
      <c r="B109" s="11" t="str">
        <f t="shared" si="3"/>
        <v/>
      </c>
      <c r="C109" s="15"/>
      <c r="D109" s="16"/>
      <c r="E109" s="15"/>
      <c r="F109" s="15"/>
      <c r="G109" s="17"/>
    </row>
    <row r="110" spans="1:7" ht="12" customHeight="1">
      <c r="A110" s="5">
        <v>103</v>
      </c>
      <c r="B110" s="11" t="str">
        <f t="shared" si="3"/>
        <v/>
      </c>
      <c r="C110" s="15"/>
      <c r="D110" s="16"/>
      <c r="E110" s="15"/>
      <c r="F110" s="15"/>
      <c r="G110" s="17"/>
    </row>
    <row r="111" spans="1:7" ht="12" customHeight="1">
      <c r="A111" s="5">
        <v>104</v>
      </c>
      <c r="B111" s="11" t="str">
        <f t="shared" si="3"/>
        <v/>
      </c>
      <c r="C111" s="15"/>
      <c r="D111" s="16"/>
      <c r="E111" s="15"/>
      <c r="F111" s="15"/>
      <c r="G111" s="17"/>
    </row>
    <row r="112" spans="1:7" ht="12" customHeight="1">
      <c r="A112" s="5">
        <v>105</v>
      </c>
      <c r="B112" s="11" t="str">
        <f t="shared" si="3"/>
        <v/>
      </c>
      <c r="C112" s="15"/>
      <c r="D112" s="16"/>
      <c r="E112" s="15"/>
      <c r="F112" s="15"/>
      <c r="G112" s="17"/>
    </row>
    <row r="113" spans="1:7" ht="12" customHeight="1">
      <c r="A113" s="5">
        <v>106</v>
      </c>
      <c r="B113" s="11" t="str">
        <f t="shared" si="3"/>
        <v/>
      </c>
      <c r="C113" s="15"/>
      <c r="D113" s="16"/>
      <c r="E113" s="15"/>
      <c r="F113" s="15"/>
      <c r="G113" s="17"/>
    </row>
    <row r="114" spans="1:7" ht="12" customHeight="1">
      <c r="A114" s="5">
        <v>107</v>
      </c>
      <c r="B114" s="11" t="str">
        <f t="shared" si="3"/>
        <v/>
      </c>
      <c r="C114" s="15"/>
      <c r="D114" s="16"/>
      <c r="E114" s="15"/>
      <c r="F114" s="15"/>
      <c r="G114" s="17"/>
    </row>
    <row r="115" spans="1:7" ht="12" customHeight="1">
      <c r="A115" s="5">
        <v>108</v>
      </c>
      <c r="B115" s="11" t="str">
        <f t="shared" si="3"/>
        <v/>
      </c>
      <c r="C115" s="15"/>
      <c r="D115" s="16"/>
      <c r="E115" s="15"/>
      <c r="F115" s="15"/>
      <c r="G115" s="17"/>
    </row>
    <row r="116" spans="1:7" ht="12" customHeight="1">
      <c r="A116" s="5">
        <v>109</v>
      </c>
      <c r="B116" s="11" t="str">
        <f t="shared" si="3"/>
        <v/>
      </c>
      <c r="C116" s="15"/>
      <c r="D116" s="16"/>
      <c r="E116" s="15"/>
      <c r="F116" s="15"/>
      <c r="G116" s="17"/>
    </row>
    <row r="117" spans="1:7" ht="12" customHeight="1">
      <c r="A117" s="5">
        <v>110</v>
      </c>
      <c r="B117" s="11" t="str">
        <f t="shared" si="3"/>
        <v/>
      </c>
      <c r="C117" s="15"/>
      <c r="D117" s="16"/>
      <c r="E117" s="15"/>
      <c r="F117" s="15"/>
      <c r="G117" s="17"/>
    </row>
    <row r="118" spans="1:7" ht="12" customHeight="1">
      <c r="A118" s="5">
        <v>111</v>
      </c>
      <c r="B118" s="11" t="str">
        <f t="shared" si="3"/>
        <v/>
      </c>
      <c r="C118" s="15"/>
      <c r="D118" s="16"/>
      <c r="E118" s="15"/>
      <c r="F118" s="15"/>
      <c r="G118" s="17"/>
    </row>
    <row r="119" spans="1:7" ht="12" customHeight="1">
      <c r="A119" s="5">
        <v>112</v>
      </c>
      <c r="B119" s="11" t="str">
        <f t="shared" si="3"/>
        <v/>
      </c>
      <c r="C119" s="15"/>
      <c r="D119" s="16"/>
      <c r="E119" s="15"/>
      <c r="F119" s="15"/>
      <c r="G119" s="17"/>
    </row>
    <row r="120" spans="1:7" ht="12" customHeight="1">
      <c r="A120" s="5">
        <v>113</v>
      </c>
      <c r="B120" s="11" t="str">
        <f t="shared" si="3"/>
        <v/>
      </c>
      <c r="C120" s="15"/>
      <c r="D120" s="16"/>
      <c r="E120" s="15"/>
      <c r="F120" s="15"/>
      <c r="G120" s="17"/>
    </row>
    <row r="121" spans="1:7" ht="12" customHeight="1">
      <c r="A121" s="5">
        <v>114</v>
      </c>
      <c r="B121" s="11" t="str">
        <f t="shared" si="3"/>
        <v/>
      </c>
      <c r="C121" s="15"/>
      <c r="D121" s="16"/>
      <c r="E121" s="15"/>
      <c r="F121" s="15"/>
      <c r="G121" s="17"/>
    </row>
    <row r="122" spans="1:7" ht="12" customHeight="1">
      <c r="A122" s="5">
        <v>115</v>
      </c>
      <c r="B122" s="11" t="str">
        <f t="shared" si="3"/>
        <v/>
      </c>
      <c r="C122" s="15"/>
      <c r="D122" s="16"/>
      <c r="E122" s="15"/>
      <c r="F122" s="15"/>
      <c r="G122" s="17"/>
    </row>
    <row r="123" spans="1:7" ht="12" customHeight="1">
      <c r="A123" s="5">
        <v>116</v>
      </c>
      <c r="B123" s="11" t="str">
        <f t="shared" si="3"/>
        <v/>
      </c>
      <c r="C123" s="15"/>
      <c r="D123" s="16"/>
      <c r="E123" s="15"/>
      <c r="F123" s="15"/>
      <c r="G123" s="17"/>
    </row>
    <row r="124" spans="1:7" ht="12" customHeight="1">
      <c r="A124" s="5">
        <v>117</v>
      </c>
      <c r="B124" s="11" t="str">
        <f t="shared" si="3"/>
        <v/>
      </c>
      <c r="C124" s="15"/>
      <c r="D124" s="16"/>
      <c r="E124" s="15"/>
      <c r="F124" s="15"/>
      <c r="G124" s="17"/>
    </row>
    <row r="125" spans="1:7" ht="12" customHeight="1">
      <c r="A125" s="5">
        <v>118</v>
      </c>
      <c r="B125" s="11" t="str">
        <f t="shared" si="3"/>
        <v/>
      </c>
      <c r="C125" s="15"/>
      <c r="D125" s="16"/>
      <c r="E125" s="15"/>
      <c r="F125" s="15"/>
      <c r="G125" s="17"/>
    </row>
    <row r="126" spans="1:7" ht="12" customHeight="1">
      <c r="A126" s="5">
        <v>119</v>
      </c>
      <c r="B126" s="11" t="str">
        <f t="shared" si="3"/>
        <v/>
      </c>
      <c r="C126" s="15"/>
      <c r="D126" s="16"/>
      <c r="E126" s="15"/>
      <c r="F126" s="15"/>
      <c r="G126" s="17"/>
    </row>
    <row r="127" spans="1:7" ht="12" customHeight="1">
      <c r="A127" s="5">
        <v>120</v>
      </c>
      <c r="B127" s="11" t="str">
        <f t="shared" si="3"/>
        <v/>
      </c>
      <c r="C127" s="15"/>
      <c r="D127" s="16"/>
      <c r="E127" s="15"/>
      <c r="F127" s="15"/>
      <c r="G127" s="17"/>
    </row>
    <row r="128" spans="1:7" ht="12" customHeight="1">
      <c r="A128" s="5">
        <v>121</v>
      </c>
      <c r="B128" s="11" t="str">
        <f t="shared" si="3"/>
        <v/>
      </c>
      <c r="C128" s="15"/>
      <c r="D128" s="16"/>
      <c r="E128" s="15"/>
      <c r="F128" s="15"/>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64" si="5">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si="5"/>
        <v/>
      </c>
      <c r="C208" s="15"/>
      <c r="D208" s="16"/>
      <c r="E208" s="15"/>
      <c r="F208" s="15"/>
      <c r="G208" s="17"/>
    </row>
    <row r="209" spans="1:7" ht="12" customHeight="1">
      <c r="A209" s="5">
        <v>202</v>
      </c>
      <c r="B209" s="11" t="str">
        <f t="shared" si="5"/>
        <v/>
      </c>
      <c r="C209" s="15"/>
      <c r="D209" s="16"/>
      <c r="E209" s="15"/>
      <c r="F209" s="15"/>
      <c r="G209" s="17"/>
    </row>
    <row r="210" spans="1:7" ht="12" customHeight="1">
      <c r="A210" s="5">
        <v>203</v>
      </c>
      <c r="B210" s="11" t="str">
        <f t="shared" si="5"/>
        <v/>
      </c>
      <c r="C210" s="15"/>
      <c r="D210" s="16"/>
      <c r="E210" s="15"/>
      <c r="F210" s="15"/>
      <c r="G210" s="17"/>
    </row>
    <row r="211" spans="1:7" ht="12" customHeight="1">
      <c r="A211" s="5">
        <v>204</v>
      </c>
      <c r="B211" s="11" t="str">
        <f t="shared" si="5"/>
        <v/>
      </c>
      <c r="C211" s="15"/>
      <c r="D211" s="16"/>
      <c r="E211" s="15"/>
      <c r="F211" s="15"/>
      <c r="G211" s="17"/>
    </row>
    <row r="212" spans="1:7" ht="12" customHeight="1">
      <c r="A212" s="5">
        <v>205</v>
      </c>
      <c r="B212" s="11" t="str">
        <f t="shared" si="5"/>
        <v/>
      </c>
      <c r="C212" s="15"/>
      <c r="D212" s="16"/>
      <c r="E212" s="15"/>
      <c r="F212" s="15"/>
      <c r="G212" s="17"/>
    </row>
    <row r="213" spans="1:7" ht="12" customHeight="1">
      <c r="A213" s="5">
        <v>206</v>
      </c>
      <c r="B213" s="11" t="str">
        <f t="shared" si="5"/>
        <v/>
      </c>
      <c r="C213" s="15"/>
      <c r="D213" s="16"/>
      <c r="E213" s="15"/>
      <c r="F213" s="15"/>
      <c r="G213" s="17"/>
    </row>
    <row r="214" spans="1:7" ht="12" customHeight="1">
      <c r="A214" s="5">
        <v>207</v>
      </c>
      <c r="B214" s="11" t="str">
        <f t="shared" si="5"/>
        <v/>
      </c>
      <c r="C214" s="15"/>
      <c r="D214" s="16"/>
      <c r="E214" s="15"/>
      <c r="F214" s="15"/>
      <c r="G214" s="17"/>
    </row>
    <row r="215" spans="1:7" ht="12" customHeight="1">
      <c r="A215" s="5">
        <v>208</v>
      </c>
      <c r="B215" s="11" t="str">
        <f t="shared" si="5"/>
        <v/>
      </c>
      <c r="C215" s="15"/>
      <c r="D215" s="16"/>
      <c r="E215" s="15"/>
      <c r="F215" s="15"/>
      <c r="G215" s="17"/>
    </row>
    <row r="216" spans="1:7" ht="12" customHeight="1">
      <c r="A216" s="5">
        <v>209</v>
      </c>
      <c r="B216" s="11" t="str">
        <f t="shared" si="5"/>
        <v/>
      </c>
      <c r="C216" s="15"/>
      <c r="D216" s="16"/>
      <c r="E216" s="15"/>
      <c r="F216" s="15"/>
      <c r="G216" s="17"/>
    </row>
    <row r="217" spans="1:7" ht="12" customHeight="1">
      <c r="A217" s="5">
        <v>210</v>
      </c>
      <c r="B217" s="11" t="str">
        <f t="shared" si="5"/>
        <v/>
      </c>
      <c r="C217" s="15"/>
      <c r="D217" s="16"/>
      <c r="E217" s="15"/>
      <c r="F217" s="15"/>
      <c r="G217" s="17"/>
    </row>
    <row r="218" spans="1:7" ht="12" customHeight="1">
      <c r="A218" s="5">
        <v>211</v>
      </c>
      <c r="B218" s="11" t="str">
        <f t="shared" si="5"/>
        <v/>
      </c>
      <c r="C218" s="15"/>
      <c r="D218" s="16"/>
      <c r="E218" s="15"/>
      <c r="F218" s="15"/>
      <c r="G218" s="17"/>
    </row>
    <row r="219" spans="1:7" ht="12" customHeight="1">
      <c r="A219" s="5">
        <v>212</v>
      </c>
      <c r="B219" s="11" t="str">
        <f t="shared" si="5"/>
        <v/>
      </c>
      <c r="C219" s="15"/>
      <c r="D219" s="16"/>
      <c r="E219" s="15"/>
      <c r="F219" s="15"/>
      <c r="G219" s="17"/>
    </row>
    <row r="220" spans="1:7" ht="12" customHeight="1">
      <c r="A220" s="5">
        <v>213</v>
      </c>
      <c r="B220" s="11" t="str">
        <f t="shared" si="5"/>
        <v/>
      </c>
      <c r="C220" s="15"/>
      <c r="D220" s="16"/>
      <c r="E220" s="15"/>
      <c r="F220" s="15"/>
      <c r="G220" s="17"/>
    </row>
    <row r="221" spans="1:7" ht="12" customHeight="1">
      <c r="A221" s="5">
        <v>214</v>
      </c>
      <c r="B221" s="11" t="str">
        <f t="shared" si="5"/>
        <v/>
      </c>
      <c r="C221" s="15"/>
      <c r="D221" s="16"/>
      <c r="E221" s="15"/>
      <c r="F221" s="15"/>
      <c r="G221" s="17"/>
    </row>
    <row r="222" spans="1:7" ht="12" customHeight="1">
      <c r="A222" s="5">
        <v>215</v>
      </c>
      <c r="B222" s="11" t="str">
        <f t="shared" si="5"/>
        <v/>
      </c>
      <c r="C222" s="15"/>
      <c r="D222" s="16"/>
      <c r="E222" s="15"/>
      <c r="F222" s="15"/>
      <c r="G222" s="17"/>
    </row>
    <row r="223" spans="1:7" ht="12" customHeight="1">
      <c r="A223" s="5">
        <v>216</v>
      </c>
      <c r="B223" s="11" t="str">
        <f t="shared" si="5"/>
        <v/>
      </c>
      <c r="C223" s="15"/>
      <c r="D223" s="16"/>
      <c r="E223" s="15"/>
      <c r="F223" s="15"/>
      <c r="G223" s="17"/>
    </row>
    <row r="224" spans="1:7" ht="12" customHeight="1">
      <c r="A224" s="5">
        <v>217</v>
      </c>
      <c r="B224" s="11" t="str">
        <f t="shared" si="5"/>
        <v/>
      </c>
      <c r="C224" s="15"/>
      <c r="D224" s="16"/>
      <c r="E224" s="15"/>
      <c r="F224" s="15"/>
      <c r="G224" s="17"/>
    </row>
    <row r="225" spans="1:7" ht="12" customHeight="1">
      <c r="A225" s="5">
        <v>218</v>
      </c>
      <c r="B225" s="11" t="str">
        <f t="shared" si="5"/>
        <v/>
      </c>
      <c r="C225" s="15"/>
      <c r="D225" s="16"/>
      <c r="E225" s="15"/>
      <c r="F225" s="15"/>
      <c r="G225" s="17"/>
    </row>
    <row r="226" spans="1:7" ht="12" customHeight="1">
      <c r="A226" s="5">
        <v>219</v>
      </c>
      <c r="B226" s="11" t="str">
        <f t="shared" si="5"/>
        <v/>
      </c>
      <c r="C226" s="15"/>
      <c r="D226" s="16"/>
      <c r="E226" s="15"/>
      <c r="F226" s="15"/>
      <c r="G226" s="17"/>
    </row>
    <row r="227" spans="1:7" ht="12" customHeight="1">
      <c r="A227" s="5">
        <v>220</v>
      </c>
      <c r="B227" s="11" t="str">
        <f t="shared" si="5"/>
        <v/>
      </c>
      <c r="C227" s="15"/>
      <c r="D227" s="16"/>
      <c r="E227" s="15"/>
      <c r="F227" s="15"/>
      <c r="G227" s="17"/>
    </row>
    <row r="228" spans="1:7" ht="12" customHeight="1">
      <c r="A228" s="5">
        <v>221</v>
      </c>
      <c r="B228" s="11" t="str">
        <f t="shared" si="5"/>
        <v/>
      </c>
      <c r="C228" s="15"/>
      <c r="D228" s="16"/>
      <c r="E228" s="15"/>
      <c r="F228" s="15"/>
      <c r="G228" s="17"/>
    </row>
    <row r="229" spans="1:7" ht="12" customHeight="1">
      <c r="A229" s="5">
        <v>222</v>
      </c>
      <c r="B229" s="11" t="str">
        <f t="shared" si="5"/>
        <v/>
      </c>
      <c r="C229" s="15"/>
      <c r="D229" s="16"/>
      <c r="E229" s="15"/>
      <c r="F229" s="15"/>
      <c r="G229" s="17"/>
    </row>
    <row r="230" spans="1:7" ht="12" customHeight="1">
      <c r="A230" s="5">
        <v>223</v>
      </c>
      <c r="B230" s="11" t="str">
        <f t="shared" si="5"/>
        <v/>
      </c>
      <c r="C230" s="15"/>
      <c r="D230" s="16"/>
      <c r="E230" s="15"/>
      <c r="F230" s="15"/>
      <c r="G230" s="17"/>
    </row>
    <row r="231" spans="1:7" ht="12" customHeight="1">
      <c r="A231" s="5">
        <v>224</v>
      </c>
      <c r="B231" s="11" t="str">
        <f t="shared" si="5"/>
        <v/>
      </c>
      <c r="C231" s="15"/>
      <c r="D231" s="16"/>
      <c r="E231" s="15"/>
      <c r="F231" s="15"/>
      <c r="G231" s="17"/>
    </row>
    <row r="232" spans="1:7" ht="12" customHeight="1">
      <c r="A232" s="5">
        <v>225</v>
      </c>
      <c r="B232" s="11" t="str">
        <f t="shared" si="5"/>
        <v/>
      </c>
      <c r="C232" s="15"/>
      <c r="D232" s="16"/>
      <c r="E232" s="15"/>
      <c r="F232" s="15"/>
      <c r="G232" s="17"/>
    </row>
    <row r="233" spans="1:7" ht="12" customHeight="1">
      <c r="A233" s="5">
        <v>226</v>
      </c>
      <c r="B233" s="11" t="str">
        <f t="shared" si="5"/>
        <v/>
      </c>
      <c r="C233" s="15"/>
      <c r="D233" s="16"/>
      <c r="E233" s="15"/>
      <c r="F233" s="15"/>
      <c r="G233" s="17"/>
    </row>
    <row r="234" spans="1:7" ht="12" customHeight="1">
      <c r="A234" s="5">
        <v>227</v>
      </c>
      <c r="B234" s="11" t="str">
        <f t="shared" si="5"/>
        <v/>
      </c>
      <c r="C234" s="15"/>
      <c r="D234" s="16"/>
      <c r="E234" s="15"/>
      <c r="F234" s="15"/>
      <c r="G234" s="17"/>
    </row>
    <row r="235" spans="1:7" ht="12" customHeight="1">
      <c r="A235" s="5">
        <v>228</v>
      </c>
      <c r="B235" s="11" t="str">
        <f t="shared" si="5"/>
        <v/>
      </c>
      <c r="C235" s="15"/>
      <c r="D235" s="16"/>
      <c r="E235" s="15"/>
      <c r="F235" s="15"/>
      <c r="G235" s="17"/>
    </row>
    <row r="236" spans="1:7" ht="12" customHeight="1">
      <c r="A236" s="5">
        <v>229</v>
      </c>
      <c r="B236" s="11" t="str">
        <f t="shared" si="5"/>
        <v/>
      </c>
      <c r="C236" s="15"/>
      <c r="D236" s="16"/>
      <c r="E236" s="15"/>
      <c r="F236" s="15"/>
      <c r="G236" s="17"/>
    </row>
    <row r="237" spans="1:7" ht="12" customHeight="1">
      <c r="A237" s="5">
        <v>230</v>
      </c>
      <c r="B237" s="11" t="str">
        <f t="shared" si="5"/>
        <v/>
      </c>
      <c r="C237" s="15"/>
      <c r="D237" s="16"/>
      <c r="E237" s="15"/>
      <c r="F237" s="15"/>
      <c r="G237" s="17"/>
    </row>
    <row r="238" spans="1:7" ht="12" customHeight="1">
      <c r="A238" s="5">
        <v>231</v>
      </c>
      <c r="B238" s="11" t="str">
        <f t="shared" si="5"/>
        <v/>
      </c>
      <c r="C238" s="15"/>
      <c r="D238" s="16"/>
      <c r="E238" s="15"/>
      <c r="F238" s="15"/>
      <c r="G238" s="17"/>
    </row>
    <row r="239" spans="1:7" ht="12" customHeight="1">
      <c r="A239" s="5">
        <v>232</v>
      </c>
      <c r="B239" s="11" t="str">
        <f t="shared" si="5"/>
        <v/>
      </c>
      <c r="C239" s="15"/>
      <c r="D239" s="16"/>
      <c r="E239" s="15"/>
      <c r="F239" s="15"/>
      <c r="G239" s="17"/>
    </row>
    <row r="240" spans="1:7" ht="12" customHeight="1">
      <c r="A240" s="5">
        <v>233</v>
      </c>
      <c r="B240" s="11" t="str">
        <f t="shared" si="5"/>
        <v/>
      </c>
      <c r="C240" s="15"/>
      <c r="D240" s="16"/>
      <c r="E240" s="15"/>
      <c r="F240" s="15"/>
      <c r="G240" s="17"/>
    </row>
    <row r="241" spans="1:7" ht="12" customHeight="1">
      <c r="A241" s="5">
        <v>234</v>
      </c>
      <c r="B241" s="11" t="str">
        <f t="shared" si="5"/>
        <v/>
      </c>
      <c r="C241" s="15"/>
      <c r="D241" s="16"/>
      <c r="E241" s="15"/>
      <c r="F241" s="15"/>
      <c r="G241" s="17"/>
    </row>
    <row r="242" spans="1:7" ht="12" customHeight="1">
      <c r="A242" s="5">
        <v>235</v>
      </c>
      <c r="B242" s="11" t="str">
        <f t="shared" si="5"/>
        <v/>
      </c>
      <c r="C242" s="15"/>
      <c r="D242" s="16"/>
      <c r="E242" s="15"/>
      <c r="F242" s="15"/>
      <c r="G242" s="17"/>
    </row>
    <row r="243" spans="1:7" ht="12" customHeight="1">
      <c r="A243" s="5">
        <v>236</v>
      </c>
      <c r="B243" s="11" t="str">
        <f t="shared" si="5"/>
        <v/>
      </c>
      <c r="C243" s="15"/>
      <c r="D243" s="16"/>
      <c r="E243" s="15"/>
      <c r="F243" s="15"/>
      <c r="G243" s="17"/>
    </row>
    <row r="244" spans="1:7" ht="12" customHeight="1">
      <c r="A244" s="5">
        <v>237</v>
      </c>
      <c r="B244" s="11" t="str">
        <f t="shared" si="5"/>
        <v/>
      </c>
      <c r="C244" s="15"/>
      <c r="D244" s="16"/>
      <c r="E244" s="15"/>
      <c r="F244" s="15"/>
      <c r="G244" s="17"/>
    </row>
    <row r="245" spans="1:7" ht="12" customHeight="1">
      <c r="A245" s="5">
        <v>238</v>
      </c>
      <c r="B245" s="11" t="str">
        <f t="shared" si="5"/>
        <v/>
      </c>
      <c r="C245" s="15"/>
      <c r="D245" s="16"/>
      <c r="E245" s="15"/>
      <c r="F245" s="15"/>
      <c r="G245" s="17"/>
    </row>
    <row r="246" spans="1:7" ht="12" customHeight="1">
      <c r="A246" s="5">
        <v>239</v>
      </c>
      <c r="B246" s="11" t="str">
        <f t="shared" si="5"/>
        <v/>
      </c>
      <c r="C246" s="15"/>
      <c r="D246" s="16"/>
      <c r="E246" s="15"/>
      <c r="F246" s="15"/>
      <c r="G246" s="17"/>
    </row>
    <row r="247" spans="1:7" ht="12" customHeight="1">
      <c r="A247" s="5">
        <v>240</v>
      </c>
      <c r="B247" s="11" t="str">
        <f t="shared" si="5"/>
        <v/>
      </c>
      <c r="C247" s="15"/>
      <c r="D247" s="16"/>
      <c r="E247" s="15"/>
      <c r="F247" s="15"/>
      <c r="G247" s="17"/>
    </row>
    <row r="248" spans="1:7" ht="12" customHeight="1">
      <c r="A248" s="5">
        <v>241</v>
      </c>
      <c r="B248" s="11" t="str">
        <f t="shared" si="5"/>
        <v/>
      </c>
      <c r="C248" s="15"/>
      <c r="D248" s="16"/>
      <c r="E248" s="15"/>
      <c r="F248" s="15"/>
      <c r="G248" s="17"/>
    </row>
    <row r="249" spans="1:7" ht="12" customHeight="1">
      <c r="A249" s="5">
        <v>242</v>
      </c>
      <c r="B249" s="11" t="str">
        <f t="shared" si="5"/>
        <v/>
      </c>
      <c r="C249" s="15"/>
      <c r="D249" s="16"/>
      <c r="E249" s="15"/>
      <c r="F249" s="15"/>
      <c r="G249" s="17"/>
    </row>
    <row r="250" spans="1:7" ht="12" customHeight="1">
      <c r="A250" s="5">
        <v>243</v>
      </c>
      <c r="B250" s="11" t="str">
        <f t="shared" si="5"/>
        <v/>
      </c>
      <c r="C250" s="15"/>
      <c r="D250" s="16"/>
      <c r="E250" s="15"/>
      <c r="F250" s="15"/>
      <c r="G250" s="17"/>
    </row>
    <row r="251" spans="1:7" ht="12" customHeight="1">
      <c r="A251" s="5">
        <v>244</v>
      </c>
      <c r="B251" s="11" t="str">
        <f t="shared" si="5"/>
        <v/>
      </c>
      <c r="C251" s="15"/>
      <c r="D251" s="16"/>
      <c r="E251" s="15"/>
      <c r="F251" s="15"/>
      <c r="G251" s="17"/>
    </row>
    <row r="252" spans="1:7" ht="12" customHeight="1">
      <c r="A252" s="5">
        <v>245</v>
      </c>
      <c r="B252" s="11" t="str">
        <f t="shared" si="5"/>
        <v/>
      </c>
      <c r="C252" s="15"/>
      <c r="D252" s="16"/>
      <c r="E252" s="15"/>
      <c r="F252" s="15"/>
      <c r="G252" s="17"/>
    </row>
    <row r="253" spans="1:7" ht="12" customHeight="1">
      <c r="A253" s="5">
        <v>246</v>
      </c>
      <c r="B253" s="11" t="str">
        <f t="shared" si="5"/>
        <v/>
      </c>
      <c r="C253" s="15"/>
      <c r="D253" s="16"/>
      <c r="E253" s="15"/>
      <c r="F253" s="15"/>
      <c r="G253" s="17"/>
    </row>
    <row r="254" spans="1:7" ht="12" customHeight="1">
      <c r="A254" s="5">
        <v>247</v>
      </c>
      <c r="B254" s="11" t="str">
        <f t="shared" si="5"/>
        <v/>
      </c>
      <c r="C254" s="15"/>
      <c r="D254" s="16"/>
      <c r="E254" s="15"/>
      <c r="F254" s="15"/>
      <c r="G254" s="17"/>
    </row>
    <row r="255" spans="1:7" ht="12" customHeight="1">
      <c r="A255" s="5">
        <v>248</v>
      </c>
      <c r="B255" s="11" t="str">
        <f t="shared" si="5"/>
        <v/>
      </c>
      <c r="C255" s="15"/>
      <c r="D255" s="16"/>
      <c r="E255" s="15"/>
      <c r="F255" s="15"/>
      <c r="G255" s="17"/>
    </row>
    <row r="256" spans="1:7" ht="12" customHeight="1">
      <c r="A256" s="5">
        <v>249</v>
      </c>
      <c r="B256" s="11" t="str">
        <f t="shared" si="5"/>
        <v/>
      </c>
      <c r="C256" s="15"/>
      <c r="D256" s="16"/>
      <c r="E256" s="15"/>
      <c r="F256" s="15"/>
      <c r="G256" s="17"/>
    </row>
    <row r="257" spans="1:7" ht="12" customHeight="1">
      <c r="A257" s="5">
        <v>250</v>
      </c>
      <c r="B257" s="11" t="str">
        <f t="shared" si="5"/>
        <v/>
      </c>
      <c r="C257" s="15"/>
      <c r="D257" s="16"/>
      <c r="E257" s="15"/>
      <c r="F257" s="15"/>
      <c r="G257" s="17"/>
    </row>
    <row r="258" spans="1:7" ht="12" customHeight="1">
      <c r="A258" s="5">
        <v>251</v>
      </c>
      <c r="B258" s="11" t="str">
        <f t="shared" si="5"/>
        <v/>
      </c>
      <c r="C258" s="15"/>
      <c r="D258" s="16"/>
      <c r="E258" s="15"/>
      <c r="F258" s="15"/>
      <c r="G258" s="17"/>
    </row>
    <row r="259" spans="1:7" ht="12" customHeight="1">
      <c r="A259" s="5">
        <v>252</v>
      </c>
      <c r="B259" s="11" t="str">
        <f t="shared" si="5"/>
        <v/>
      </c>
      <c r="C259" s="15"/>
      <c r="D259" s="16"/>
      <c r="E259" s="15"/>
      <c r="F259" s="15"/>
      <c r="G259" s="17"/>
    </row>
    <row r="260" spans="1:7" ht="12" customHeight="1">
      <c r="A260" s="5">
        <v>253</v>
      </c>
      <c r="B260" s="11" t="str">
        <f t="shared" si="5"/>
        <v/>
      </c>
      <c r="C260" s="15"/>
      <c r="D260" s="16"/>
      <c r="E260" s="15"/>
      <c r="F260" s="15"/>
      <c r="G260" s="17"/>
    </row>
    <row r="261" spans="1:7" ht="12" customHeight="1">
      <c r="A261" s="5">
        <v>254</v>
      </c>
      <c r="B261" s="11" t="str">
        <f t="shared" si="5"/>
        <v/>
      </c>
      <c r="C261" s="15"/>
      <c r="D261" s="16"/>
      <c r="E261" s="15"/>
      <c r="F261" s="15"/>
      <c r="G261" s="17"/>
    </row>
    <row r="262" spans="1:7" ht="12" customHeight="1">
      <c r="A262" s="5">
        <v>255</v>
      </c>
      <c r="B262" s="11" t="str">
        <f t="shared" si="5"/>
        <v/>
      </c>
      <c r="C262" s="15"/>
      <c r="D262" s="16"/>
      <c r="E262" s="15"/>
      <c r="F262" s="15"/>
      <c r="G262" s="17"/>
    </row>
    <row r="263" spans="1:7" ht="12" customHeight="1">
      <c r="A263" s="5">
        <v>256</v>
      </c>
      <c r="B263" s="11" t="str">
        <f t="shared" si="5"/>
        <v/>
      </c>
      <c r="C263" s="15"/>
      <c r="D263" s="16"/>
      <c r="E263" s="15"/>
      <c r="F263" s="15"/>
      <c r="G263" s="17"/>
    </row>
    <row r="264" spans="1:7" ht="12" customHeight="1">
      <c r="A264" s="5">
        <v>257</v>
      </c>
      <c r="B264" s="11" t="str">
        <f t="shared" si="5"/>
        <v/>
      </c>
      <c r="C264" s="15"/>
      <c r="D264" s="16"/>
      <c r="E264" s="15"/>
      <c r="F264" s="15"/>
      <c r="G264" s="17"/>
    </row>
    <row r="265" spans="1:7" ht="12" customHeight="1">
      <c r="A265" s="5">
        <v>258</v>
      </c>
      <c r="B265" s="11" t="str">
        <f t="shared" ref="B265:B307" si="6">IF(D265="","",(DATEDIF(D265,$G$6,"Y")))</f>
        <v/>
      </c>
      <c r="C265" s="15"/>
      <c r="D265" s="16"/>
      <c r="E265" s="15"/>
      <c r="F265" s="15"/>
      <c r="G265" s="17"/>
    </row>
    <row r="266" spans="1:7" ht="12" customHeight="1">
      <c r="A266" s="5">
        <v>259</v>
      </c>
      <c r="B266" s="11" t="str">
        <f t="shared" si="6"/>
        <v/>
      </c>
      <c r="C266" s="15"/>
      <c r="D266" s="16"/>
      <c r="E266" s="15"/>
      <c r="F266" s="15"/>
      <c r="G266" s="17"/>
    </row>
    <row r="267" spans="1:7" ht="12" customHeight="1">
      <c r="A267" s="5">
        <v>260</v>
      </c>
      <c r="B267" s="11" t="str">
        <f t="shared" si="6"/>
        <v/>
      </c>
      <c r="C267" s="15"/>
      <c r="D267" s="16"/>
      <c r="E267" s="15"/>
      <c r="F267" s="15"/>
      <c r="G267" s="17"/>
    </row>
    <row r="268" spans="1:7" ht="12" customHeight="1">
      <c r="A268" s="5">
        <v>261</v>
      </c>
      <c r="B268" s="11" t="str">
        <f t="shared" si="6"/>
        <v/>
      </c>
      <c r="C268" s="15"/>
      <c r="D268" s="16"/>
      <c r="E268" s="15"/>
      <c r="F268" s="15"/>
      <c r="G268" s="17"/>
    </row>
    <row r="269" spans="1:7" ht="12" customHeight="1">
      <c r="A269" s="5">
        <v>262</v>
      </c>
      <c r="B269" s="11" t="str">
        <f t="shared" si="6"/>
        <v/>
      </c>
      <c r="C269" s="15"/>
      <c r="D269" s="16"/>
      <c r="E269" s="15"/>
      <c r="F269" s="15"/>
      <c r="G269" s="17"/>
    </row>
    <row r="270" spans="1:7" ht="12" customHeight="1">
      <c r="A270" s="5">
        <v>263</v>
      </c>
      <c r="B270" s="11" t="str">
        <f t="shared" si="6"/>
        <v/>
      </c>
      <c r="C270" s="15"/>
      <c r="D270" s="16"/>
      <c r="E270" s="15"/>
      <c r="F270" s="15"/>
      <c r="G270" s="17"/>
    </row>
    <row r="271" spans="1:7" ht="12" customHeight="1">
      <c r="A271" s="5">
        <v>264</v>
      </c>
      <c r="B271" s="11" t="str">
        <f t="shared" si="6"/>
        <v/>
      </c>
      <c r="C271" s="15"/>
      <c r="D271" s="16"/>
      <c r="E271" s="15"/>
      <c r="F271" s="15"/>
      <c r="G271" s="17"/>
    </row>
    <row r="272" spans="1:7" ht="12" customHeight="1">
      <c r="A272" s="5">
        <v>265</v>
      </c>
      <c r="B272" s="11" t="str">
        <f t="shared" si="6"/>
        <v/>
      </c>
      <c r="C272" s="15"/>
      <c r="D272" s="16"/>
      <c r="E272" s="15"/>
      <c r="F272" s="15"/>
      <c r="G272" s="17"/>
    </row>
    <row r="273" spans="1:7" ht="12" customHeight="1">
      <c r="A273" s="5">
        <v>266</v>
      </c>
      <c r="B273" s="11" t="str">
        <f t="shared" si="6"/>
        <v/>
      </c>
      <c r="C273" s="15"/>
      <c r="D273" s="16"/>
      <c r="E273" s="15"/>
      <c r="F273" s="15"/>
      <c r="G273" s="17"/>
    </row>
    <row r="274" spans="1:7" ht="12" customHeight="1">
      <c r="A274" s="5">
        <v>267</v>
      </c>
      <c r="B274" s="11" t="str">
        <f t="shared" si="6"/>
        <v/>
      </c>
      <c r="C274" s="15"/>
      <c r="D274" s="16"/>
      <c r="E274" s="15"/>
      <c r="F274" s="15"/>
      <c r="G274" s="17"/>
    </row>
    <row r="275" spans="1:7" ht="12" customHeight="1">
      <c r="A275" s="5">
        <v>268</v>
      </c>
      <c r="B275" s="11" t="str">
        <f t="shared" si="6"/>
        <v/>
      </c>
      <c r="C275" s="15"/>
      <c r="D275" s="16"/>
      <c r="E275" s="15"/>
      <c r="F275" s="15"/>
      <c r="G275" s="17"/>
    </row>
    <row r="276" spans="1:7" ht="12" customHeight="1">
      <c r="A276" s="5">
        <v>269</v>
      </c>
      <c r="B276" s="11" t="str">
        <f t="shared" si="6"/>
        <v/>
      </c>
      <c r="C276" s="15"/>
      <c r="D276" s="16"/>
      <c r="E276" s="15"/>
      <c r="F276" s="15"/>
      <c r="G276" s="17"/>
    </row>
    <row r="277" spans="1:7" ht="12" customHeight="1">
      <c r="A277" s="5">
        <v>270</v>
      </c>
      <c r="B277" s="11" t="str">
        <f t="shared" si="6"/>
        <v/>
      </c>
      <c r="C277" s="15"/>
      <c r="D277" s="16"/>
      <c r="E277" s="15"/>
      <c r="F277" s="15"/>
      <c r="G277" s="17"/>
    </row>
    <row r="278" spans="1:7" ht="12" customHeight="1">
      <c r="A278" s="5">
        <v>271</v>
      </c>
      <c r="B278" s="11" t="str">
        <f t="shared" si="6"/>
        <v/>
      </c>
      <c r="C278" s="15"/>
      <c r="D278" s="16"/>
      <c r="E278" s="15"/>
      <c r="F278" s="15"/>
      <c r="G278" s="17"/>
    </row>
    <row r="279" spans="1:7" ht="12" customHeight="1">
      <c r="A279" s="5">
        <v>272</v>
      </c>
      <c r="B279" s="11" t="str">
        <f t="shared" si="6"/>
        <v/>
      </c>
      <c r="C279" s="15"/>
      <c r="D279" s="16"/>
      <c r="E279" s="15"/>
      <c r="F279" s="15"/>
      <c r="G279" s="17"/>
    </row>
    <row r="280" spans="1:7" ht="12" customHeight="1">
      <c r="A280" s="5">
        <v>273</v>
      </c>
      <c r="B280" s="11" t="str">
        <f t="shared" si="6"/>
        <v/>
      </c>
      <c r="C280" s="15"/>
      <c r="D280" s="16"/>
      <c r="E280" s="15"/>
      <c r="F280" s="15"/>
      <c r="G280" s="17"/>
    </row>
    <row r="281" spans="1:7" ht="12" customHeight="1">
      <c r="A281" s="5">
        <v>274</v>
      </c>
      <c r="B281" s="11" t="str">
        <f t="shared" si="6"/>
        <v/>
      </c>
      <c r="C281" s="15"/>
      <c r="D281" s="16"/>
      <c r="E281" s="15"/>
      <c r="F281" s="15"/>
      <c r="G281" s="17"/>
    </row>
    <row r="282" spans="1:7" ht="12" customHeight="1">
      <c r="A282" s="5">
        <v>275</v>
      </c>
      <c r="B282" s="11" t="str">
        <f t="shared" si="6"/>
        <v/>
      </c>
      <c r="C282" s="15"/>
      <c r="D282" s="16"/>
      <c r="E282" s="15"/>
      <c r="F282" s="15"/>
      <c r="G282" s="17"/>
    </row>
    <row r="283" spans="1:7" ht="12" customHeight="1">
      <c r="A283" s="5">
        <v>276</v>
      </c>
      <c r="B283" s="11" t="str">
        <f t="shared" si="6"/>
        <v/>
      </c>
      <c r="C283" s="15"/>
      <c r="D283" s="16"/>
      <c r="E283" s="15"/>
      <c r="F283" s="15"/>
      <c r="G283" s="17"/>
    </row>
    <row r="284" spans="1:7" ht="12" customHeight="1">
      <c r="A284" s="5">
        <v>277</v>
      </c>
      <c r="B284" s="11" t="str">
        <f t="shared" si="6"/>
        <v/>
      </c>
      <c r="C284" s="15"/>
      <c r="D284" s="16"/>
      <c r="E284" s="15"/>
      <c r="F284" s="15"/>
      <c r="G284" s="17"/>
    </row>
    <row r="285" spans="1:7" ht="12" customHeight="1">
      <c r="A285" s="5">
        <v>278</v>
      </c>
      <c r="B285" s="11" t="str">
        <f t="shared" si="6"/>
        <v/>
      </c>
      <c r="C285" s="15"/>
      <c r="D285" s="16"/>
      <c r="E285" s="15"/>
      <c r="F285" s="15"/>
      <c r="G285" s="17"/>
    </row>
    <row r="286" spans="1:7" ht="12" customHeight="1">
      <c r="A286" s="5">
        <v>279</v>
      </c>
      <c r="B286" s="11" t="str">
        <f t="shared" si="6"/>
        <v/>
      </c>
      <c r="C286" s="15"/>
      <c r="D286" s="16"/>
      <c r="E286" s="15"/>
      <c r="F286" s="15"/>
      <c r="G286" s="17"/>
    </row>
    <row r="287" spans="1:7" ht="12" customHeight="1">
      <c r="A287" s="5">
        <v>280</v>
      </c>
      <c r="B287" s="11" t="str">
        <f t="shared" si="6"/>
        <v/>
      </c>
      <c r="C287" s="15"/>
      <c r="D287" s="16"/>
      <c r="E287" s="15"/>
      <c r="F287" s="15"/>
      <c r="G287" s="17"/>
    </row>
    <row r="288" spans="1:7" ht="12" customHeight="1">
      <c r="A288" s="5">
        <v>281</v>
      </c>
      <c r="B288" s="11" t="str">
        <f t="shared" si="6"/>
        <v/>
      </c>
      <c r="C288" s="15"/>
      <c r="D288" s="16"/>
      <c r="E288" s="15"/>
      <c r="F288" s="15"/>
      <c r="G288" s="17"/>
    </row>
    <row r="289" spans="1:7" ht="12" customHeight="1">
      <c r="A289" s="5">
        <v>282</v>
      </c>
      <c r="B289" s="11" t="str">
        <f t="shared" si="6"/>
        <v/>
      </c>
      <c r="C289" s="15"/>
      <c r="D289" s="16"/>
      <c r="E289" s="15"/>
      <c r="F289" s="15"/>
      <c r="G289" s="17"/>
    </row>
    <row r="290" spans="1:7" ht="12" customHeight="1">
      <c r="A290" s="5">
        <v>283</v>
      </c>
      <c r="B290" s="11" t="str">
        <f t="shared" si="6"/>
        <v/>
      </c>
      <c r="C290" s="15"/>
      <c r="D290" s="16"/>
      <c r="E290" s="15"/>
      <c r="F290" s="15"/>
      <c r="G290" s="17"/>
    </row>
    <row r="291" spans="1:7" ht="12" customHeight="1">
      <c r="A291" s="5">
        <v>284</v>
      </c>
      <c r="B291" s="11" t="str">
        <f t="shared" si="6"/>
        <v/>
      </c>
      <c r="C291" s="15"/>
      <c r="D291" s="16"/>
      <c r="E291" s="15"/>
      <c r="F291" s="15"/>
      <c r="G291" s="17"/>
    </row>
    <row r="292" spans="1:7" ht="12" customHeight="1">
      <c r="A292" s="5">
        <v>285</v>
      </c>
      <c r="B292" s="11" t="str">
        <f t="shared" si="6"/>
        <v/>
      </c>
      <c r="C292" s="15"/>
      <c r="D292" s="16"/>
      <c r="E292" s="15"/>
      <c r="F292" s="15"/>
      <c r="G292" s="17"/>
    </row>
    <row r="293" spans="1:7" ht="12" customHeight="1">
      <c r="A293" s="5">
        <v>286</v>
      </c>
      <c r="B293" s="11" t="str">
        <f t="shared" si="6"/>
        <v/>
      </c>
      <c r="C293" s="15"/>
      <c r="D293" s="16"/>
      <c r="E293" s="15"/>
      <c r="F293" s="15"/>
      <c r="G293" s="17"/>
    </row>
    <row r="294" spans="1:7" ht="12" customHeight="1">
      <c r="A294" s="5">
        <v>287</v>
      </c>
      <c r="B294" s="11" t="str">
        <f t="shared" si="6"/>
        <v/>
      </c>
      <c r="C294" s="15"/>
      <c r="D294" s="16"/>
      <c r="E294" s="15"/>
      <c r="F294" s="15"/>
      <c r="G294" s="17"/>
    </row>
    <row r="295" spans="1:7" ht="12" customHeight="1">
      <c r="A295" s="5">
        <v>288</v>
      </c>
      <c r="B295" s="11" t="str">
        <f t="shared" si="6"/>
        <v/>
      </c>
      <c r="C295" s="15"/>
      <c r="D295" s="16"/>
      <c r="E295" s="15"/>
      <c r="F295" s="15"/>
      <c r="G295" s="17"/>
    </row>
    <row r="296" spans="1:7" ht="12" customHeight="1">
      <c r="A296" s="5">
        <v>289</v>
      </c>
      <c r="B296" s="11" t="str">
        <f t="shared" si="6"/>
        <v/>
      </c>
      <c r="C296" s="15"/>
      <c r="D296" s="16"/>
      <c r="E296" s="15"/>
      <c r="F296" s="15"/>
      <c r="G296" s="17"/>
    </row>
    <row r="297" spans="1:7" ht="12" customHeight="1">
      <c r="A297" s="5">
        <v>290</v>
      </c>
      <c r="B297" s="11" t="str">
        <f t="shared" si="6"/>
        <v/>
      </c>
      <c r="C297" s="15"/>
      <c r="D297" s="16"/>
      <c r="E297" s="15"/>
      <c r="F297" s="15"/>
      <c r="G297" s="17"/>
    </row>
    <row r="298" spans="1:7" ht="12" customHeight="1">
      <c r="A298" s="5">
        <v>291</v>
      </c>
      <c r="B298" s="11" t="str">
        <f t="shared" si="6"/>
        <v/>
      </c>
      <c r="C298" s="15"/>
      <c r="D298" s="16"/>
      <c r="E298" s="15"/>
      <c r="F298" s="15"/>
      <c r="G298" s="17"/>
    </row>
    <row r="299" spans="1:7" ht="12" customHeight="1">
      <c r="A299" s="5">
        <v>292</v>
      </c>
      <c r="B299" s="11" t="str">
        <f t="shared" si="6"/>
        <v/>
      </c>
      <c r="C299" s="15"/>
      <c r="D299" s="16"/>
      <c r="E299" s="15"/>
      <c r="F299" s="15"/>
      <c r="G299" s="17"/>
    </row>
    <row r="300" spans="1:7" ht="12" customHeight="1">
      <c r="A300" s="5">
        <v>293</v>
      </c>
      <c r="B300" s="11" t="str">
        <f t="shared" si="6"/>
        <v/>
      </c>
      <c r="C300" s="15"/>
      <c r="D300" s="16"/>
      <c r="E300" s="15"/>
      <c r="F300" s="15"/>
      <c r="G300" s="17"/>
    </row>
    <row r="301" spans="1:7" ht="12" customHeight="1">
      <c r="A301" s="5">
        <v>294</v>
      </c>
      <c r="B301" s="11" t="str">
        <f t="shared" si="6"/>
        <v/>
      </c>
      <c r="C301" s="15"/>
      <c r="D301" s="16"/>
      <c r="E301" s="15"/>
      <c r="F301" s="15"/>
      <c r="G301" s="17"/>
    </row>
    <row r="302" spans="1:7" ht="12" customHeight="1">
      <c r="A302" s="5">
        <v>295</v>
      </c>
      <c r="B302" s="11" t="str">
        <f t="shared" si="6"/>
        <v/>
      </c>
      <c r="C302" s="15"/>
      <c r="D302" s="16"/>
      <c r="E302" s="15"/>
      <c r="F302" s="15"/>
      <c r="G302" s="17"/>
    </row>
    <row r="303" spans="1:7" ht="12" customHeight="1">
      <c r="A303" s="5">
        <v>296</v>
      </c>
      <c r="B303" s="11" t="str">
        <f t="shared" si="6"/>
        <v/>
      </c>
      <c r="C303" s="15"/>
      <c r="D303" s="16"/>
      <c r="E303" s="15"/>
      <c r="F303" s="15"/>
      <c r="G303" s="17"/>
    </row>
    <row r="304" spans="1:7" ht="12" customHeight="1">
      <c r="A304" s="5">
        <v>297</v>
      </c>
      <c r="B304" s="11" t="str">
        <f t="shared" si="6"/>
        <v/>
      </c>
      <c r="C304" s="15"/>
      <c r="D304" s="16"/>
      <c r="E304" s="15"/>
      <c r="F304" s="15"/>
      <c r="G304" s="17"/>
    </row>
    <row r="305" spans="1:7" ht="12" customHeight="1">
      <c r="A305" s="5">
        <v>298</v>
      </c>
      <c r="B305" s="11" t="str">
        <f t="shared" si="6"/>
        <v/>
      </c>
      <c r="C305" s="15"/>
      <c r="D305" s="16"/>
      <c r="E305" s="15"/>
      <c r="F305" s="15"/>
      <c r="G305" s="17"/>
    </row>
    <row r="306" spans="1:7" ht="12" customHeight="1">
      <c r="A306" s="5">
        <v>299</v>
      </c>
      <c r="B306" s="11" t="str">
        <f t="shared" si="6"/>
        <v/>
      </c>
      <c r="C306" s="15"/>
      <c r="D306" s="16"/>
      <c r="E306" s="15"/>
      <c r="F306" s="15"/>
      <c r="G306" s="17"/>
    </row>
    <row r="307" spans="1:7" ht="12" customHeight="1">
      <c r="A307" s="5">
        <v>300</v>
      </c>
      <c r="B307" s="11" t="str">
        <f t="shared" si="6"/>
        <v/>
      </c>
      <c r="C307" s="15"/>
      <c r="D307" s="16"/>
      <c r="E307" s="15"/>
      <c r="F307" s="15"/>
      <c r="G307" s="17"/>
    </row>
  </sheetData>
  <mergeCells count="5">
    <mergeCell ref="Q10:Q12"/>
    <mergeCell ref="F4:G4"/>
    <mergeCell ref="A1:F1"/>
    <mergeCell ref="F3:G3"/>
    <mergeCell ref="A4:C4"/>
  </mergeCells>
  <phoneticPr fontId="1"/>
  <conditionalFormatting sqref="F8:F307">
    <cfRule type="expression" dxfId="4" priority="4">
      <formula>$E8="１号認定"</formula>
    </cfRule>
  </conditionalFormatting>
  <conditionalFormatting sqref="B8:G307">
    <cfRule type="expression" dxfId="3" priority="1">
      <formula>$E8="３号認定"</formula>
    </cfRule>
    <cfRule type="expression" dxfId="2" priority="2">
      <formula>$E8="２号認定"</formula>
    </cfRule>
  </conditionalFormatting>
  <conditionalFormatting sqref="B8:E307">
    <cfRule type="expression" dxfId="1"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91"/>
  <sheetViews>
    <sheetView view="pageBreakPreview" zoomScale="115" zoomScaleNormal="100" zoomScaleSheetLayoutView="115" workbookViewId="0">
      <selection activeCell="E34" sqref="E34"/>
    </sheetView>
  </sheetViews>
  <sheetFormatPr defaultRowHeight="18.75"/>
  <cols>
    <col min="1" max="1" width="2.5" customWidth="1"/>
    <col min="2" max="2" width="15.625" customWidth="1"/>
    <col min="3" max="3" width="7" customWidth="1"/>
    <col min="4" max="4" width="15.625" customWidth="1"/>
    <col min="5" max="5" width="16.625" customWidth="1"/>
    <col min="6" max="7" width="3" customWidth="1"/>
    <col min="8" max="8" width="5.5" customWidth="1"/>
    <col min="9" max="9" width="4.125" customWidth="1"/>
    <col min="10" max="10" width="8.625" customWidth="1"/>
    <col min="11" max="11" width="5.125" customWidth="1"/>
    <col min="12" max="12" width="7.5" customWidth="1"/>
    <col min="15" max="18" width="3" customWidth="1"/>
    <col min="20" max="20" width="9" style="4"/>
    <col min="21" max="21" width="10" customWidth="1"/>
    <col min="22" max="24" width="5.875" customWidth="1"/>
  </cols>
  <sheetData>
    <row r="1" spans="1:21" ht="24">
      <c r="A1" s="240" t="s">
        <v>189</v>
      </c>
      <c r="B1" s="240"/>
      <c r="C1" s="240"/>
      <c r="D1" s="240"/>
      <c r="E1" s="240"/>
      <c r="F1" s="240"/>
      <c r="G1" s="240"/>
      <c r="H1" s="240"/>
      <c r="I1" s="240"/>
      <c r="J1" s="240"/>
      <c r="K1" s="240"/>
      <c r="L1" s="240"/>
      <c r="M1" s="50"/>
      <c r="N1" s="50"/>
      <c r="O1" s="50"/>
      <c r="P1" s="95"/>
      <c r="Q1" s="95"/>
      <c r="R1" s="95"/>
      <c r="S1" s="50"/>
    </row>
    <row r="2" spans="1:21">
      <c r="L2" s="158">
        <f>改修履歴!A1</f>
        <v>0.99</v>
      </c>
    </row>
    <row r="3" spans="1:21" ht="19.5" thickBot="1">
      <c r="A3" s="3" t="s">
        <v>41</v>
      </c>
      <c r="I3" t="s">
        <v>266</v>
      </c>
      <c r="T3" s="6"/>
    </row>
    <row r="4" spans="1:21" ht="19.5" thickBot="1">
      <c r="A4" s="242" t="str">
        <f>①基本情報!A7</f>
        <v>〇〇認定こども園</v>
      </c>
      <c r="B4" s="243"/>
      <c r="C4" s="243"/>
      <c r="D4" s="244"/>
      <c r="I4" s="238">
        <f>①基本情報!A4</f>
        <v>44652</v>
      </c>
      <c r="J4" s="272"/>
      <c r="K4" s="272"/>
      <c r="L4" s="239"/>
      <c r="M4" s="92"/>
      <c r="N4" s="92"/>
      <c r="O4" s="92"/>
      <c r="P4" s="92"/>
      <c r="Q4" s="92"/>
      <c r="R4" s="92"/>
      <c r="S4" s="92"/>
    </row>
    <row r="5" spans="1:21" ht="6" customHeight="1">
      <c r="A5" s="73"/>
      <c r="B5" s="73"/>
      <c r="C5" s="73"/>
      <c r="D5" s="73"/>
      <c r="E5" s="174"/>
      <c r="F5" s="174"/>
      <c r="G5" s="174"/>
      <c r="H5" s="174"/>
      <c r="I5" s="175"/>
      <c r="J5" s="175"/>
      <c r="K5" s="175"/>
      <c r="L5" s="175"/>
      <c r="M5" s="92"/>
      <c r="N5" s="92"/>
      <c r="O5" s="92"/>
      <c r="P5" s="92"/>
      <c r="Q5" s="92"/>
      <c r="R5" s="92"/>
      <c r="S5" s="92"/>
    </row>
    <row r="6" spans="1:21" ht="39.950000000000003" customHeight="1">
      <c r="A6" s="73"/>
      <c r="B6" s="188" t="s">
        <v>284</v>
      </c>
      <c r="C6" s="189">
        <f>$V$46+$V$47</f>
        <v>35</v>
      </c>
      <c r="D6" s="275" t="str">
        <f>"(内訳：常勤"&amp;$V$46&amp;"人、非常勤"&amp;$V$47&amp;"人）"</f>
        <v>(内訳：常勤25人、非常勤10人）</v>
      </c>
      <c r="E6" s="276"/>
      <c r="F6" s="285" t="s">
        <v>286</v>
      </c>
      <c r="G6" s="286"/>
      <c r="H6" s="286"/>
      <c r="I6" s="286"/>
      <c r="J6" s="190">
        <f>$Y$47</f>
        <v>30.6</v>
      </c>
      <c r="K6" s="175"/>
      <c r="L6" s="175"/>
      <c r="M6" s="92"/>
      <c r="N6" s="92"/>
      <c r="O6" s="92"/>
      <c r="P6" s="92"/>
      <c r="Q6" s="92"/>
      <c r="R6" s="92"/>
      <c r="S6" s="92"/>
    </row>
    <row r="7" spans="1:21" ht="39.950000000000003" customHeight="1">
      <c r="A7" s="73"/>
      <c r="B7" s="185" t="s">
        <v>285</v>
      </c>
      <c r="C7" s="186">
        <f>$V$43+$V$44</f>
        <v>23</v>
      </c>
      <c r="D7" s="283" t="str">
        <f>"(内訳：常勤"&amp;$V$43&amp;"人、非常勤"&amp;$V$44&amp;"人）"</f>
        <v>(内訳：常勤18人、非常勤5人）</v>
      </c>
      <c r="E7" s="284"/>
      <c r="F7" s="245" t="s">
        <v>287</v>
      </c>
      <c r="G7" s="246"/>
      <c r="H7" s="246"/>
      <c r="I7" s="246"/>
      <c r="J7" s="187">
        <f>$Y$44</f>
        <v>20.6</v>
      </c>
      <c r="K7" s="175"/>
      <c r="L7" s="175"/>
      <c r="M7" s="92"/>
      <c r="N7" s="92"/>
      <c r="O7" s="92"/>
      <c r="P7" s="92"/>
      <c r="Q7" s="92"/>
      <c r="R7" s="92"/>
      <c r="S7" s="92"/>
    </row>
    <row r="8" spans="1:21" ht="7.5" customHeight="1">
      <c r="A8" s="73"/>
      <c r="B8" s="180"/>
      <c r="C8" s="176"/>
      <c r="D8" s="177"/>
      <c r="E8" s="182"/>
      <c r="F8" s="183"/>
      <c r="G8" s="184"/>
      <c r="H8" s="184"/>
      <c r="I8" s="184"/>
      <c r="J8" s="179"/>
      <c r="K8" s="175"/>
      <c r="L8" s="175"/>
      <c r="M8" s="92"/>
      <c r="N8" s="92"/>
      <c r="O8" s="92"/>
      <c r="P8" s="92"/>
      <c r="Q8" s="92"/>
      <c r="R8" s="92"/>
      <c r="S8" s="92"/>
    </row>
    <row r="9" spans="1:21" ht="20.100000000000001" customHeight="1">
      <c r="A9" s="73"/>
      <c r="B9" s="277" t="s">
        <v>292</v>
      </c>
      <c r="C9" s="278"/>
      <c r="D9" s="191" t="s">
        <v>293</v>
      </c>
      <c r="E9" s="192"/>
      <c r="F9" s="193" t="s">
        <v>291</v>
      </c>
      <c r="G9" s="184"/>
      <c r="H9" s="184"/>
      <c r="I9" s="184"/>
      <c r="J9" s="179"/>
      <c r="K9" s="175"/>
      <c r="L9" s="175"/>
      <c r="M9" s="92"/>
      <c r="N9" s="92"/>
      <c r="O9" s="92"/>
      <c r="P9" s="92"/>
      <c r="Q9" s="92"/>
      <c r="R9" s="92"/>
      <c r="S9" s="92"/>
    </row>
    <row r="10" spans="1:21" ht="20.100000000000001" customHeight="1">
      <c r="A10" s="73"/>
      <c r="B10" s="279"/>
      <c r="C10" s="280"/>
      <c r="D10" s="194" t="s">
        <v>294</v>
      </c>
      <c r="E10" s="195"/>
      <c r="F10" s="196" t="s">
        <v>291</v>
      </c>
      <c r="G10" s="184"/>
      <c r="M10" s="92"/>
      <c r="N10" s="92"/>
      <c r="O10" s="92"/>
      <c r="P10" s="92"/>
      <c r="Q10" s="92"/>
      <c r="R10" s="92"/>
      <c r="S10" s="92"/>
    </row>
    <row r="11" spans="1:21" ht="20.100000000000001" customHeight="1">
      <c r="A11" s="73"/>
      <c r="B11" s="279"/>
      <c r="C11" s="280"/>
      <c r="D11" s="199" t="s">
        <v>295</v>
      </c>
      <c r="E11" s="200"/>
      <c r="F11" s="201" t="s">
        <v>291</v>
      </c>
      <c r="G11" s="181"/>
      <c r="H11" s="281" t="s">
        <v>296</v>
      </c>
      <c r="I11" s="282"/>
      <c r="J11" s="282"/>
      <c r="K11" s="282"/>
      <c r="L11" s="282"/>
      <c r="M11" s="92"/>
      <c r="N11" s="92"/>
      <c r="O11" s="92"/>
      <c r="P11" s="92"/>
      <c r="Q11" s="92"/>
      <c r="R11" s="92"/>
      <c r="S11" s="92"/>
    </row>
    <row r="12" spans="1:21" ht="36.75" customHeight="1">
      <c r="A12" s="202"/>
      <c r="B12" s="270" t="s">
        <v>301</v>
      </c>
      <c r="C12" s="271"/>
      <c r="D12" s="271"/>
      <c r="E12" s="197"/>
      <c r="F12" s="203" t="s">
        <v>300</v>
      </c>
      <c r="G12" s="204"/>
      <c r="H12" s="123"/>
      <c r="I12" s="175"/>
      <c r="J12" s="175"/>
      <c r="K12" s="175"/>
      <c r="L12" s="175"/>
      <c r="M12" s="92"/>
      <c r="N12" s="92"/>
      <c r="O12" s="92"/>
      <c r="P12" s="92"/>
      <c r="Q12" s="92"/>
      <c r="R12" s="92"/>
      <c r="S12" s="92"/>
    </row>
    <row r="13" spans="1:21" ht="7.5" customHeight="1">
      <c r="B13" s="29"/>
      <c r="T13" s="44" t="s">
        <v>88</v>
      </c>
      <c r="U13" s="53">
        <f>①基本情報!A10</f>
        <v>160</v>
      </c>
    </row>
    <row r="14" spans="1:21" ht="13.5" customHeight="1">
      <c r="A14" s="274" t="s">
        <v>11</v>
      </c>
      <c r="B14" s="253" t="s">
        <v>96</v>
      </c>
      <c r="C14" s="251" t="s">
        <v>100</v>
      </c>
      <c r="D14" s="253" t="s">
        <v>101</v>
      </c>
      <c r="E14" s="251" t="s">
        <v>102</v>
      </c>
      <c r="F14" s="251" t="s">
        <v>10</v>
      </c>
      <c r="G14" s="251"/>
      <c r="H14" s="251"/>
      <c r="I14" s="273" t="s">
        <v>16</v>
      </c>
      <c r="J14" s="252" t="s">
        <v>18</v>
      </c>
      <c r="K14" s="252" t="s">
        <v>277</v>
      </c>
      <c r="L14" s="251" t="s">
        <v>17</v>
      </c>
      <c r="M14" s="251" t="s">
        <v>146</v>
      </c>
      <c r="N14" s="251"/>
      <c r="O14" s="255" t="s">
        <v>158</v>
      </c>
      <c r="P14" s="256"/>
      <c r="Q14" s="256"/>
      <c r="R14" s="257"/>
      <c r="S14" s="252" t="s">
        <v>149</v>
      </c>
    </row>
    <row r="15" spans="1:21" ht="19.5">
      <c r="A15" s="252"/>
      <c r="B15" s="254"/>
      <c r="C15" s="251"/>
      <c r="D15" s="254"/>
      <c r="E15" s="251"/>
      <c r="F15" s="54" t="s">
        <v>94</v>
      </c>
      <c r="G15" s="54" t="s">
        <v>95</v>
      </c>
      <c r="H15" s="55" t="s">
        <v>13</v>
      </c>
      <c r="I15" s="273"/>
      <c r="J15" s="252"/>
      <c r="K15" s="252"/>
      <c r="L15" s="251"/>
      <c r="M15" s="55" t="s">
        <v>147</v>
      </c>
      <c r="N15" s="55" t="s">
        <v>148</v>
      </c>
      <c r="O15" s="258" t="s">
        <v>156</v>
      </c>
      <c r="P15" s="259"/>
      <c r="Q15" s="258" t="s">
        <v>157</v>
      </c>
      <c r="R15" s="260"/>
      <c r="S15" s="252"/>
    </row>
    <row r="16" spans="1:21" ht="19.5" customHeight="1" thickBot="1">
      <c r="A16" s="264" t="s">
        <v>42</v>
      </c>
      <c r="B16" s="75" t="s">
        <v>117</v>
      </c>
      <c r="C16" s="68"/>
      <c r="D16" s="75" t="s">
        <v>12</v>
      </c>
      <c r="E16" s="56" t="s">
        <v>227</v>
      </c>
      <c r="F16" s="57" t="s">
        <v>86</v>
      </c>
      <c r="G16" s="57" t="s">
        <v>86</v>
      </c>
      <c r="H16" s="56"/>
      <c r="I16" s="58">
        <v>160</v>
      </c>
      <c r="J16" s="59" t="str">
        <f>IF(I16="","",IF(I16&lt;$U$13,"非常勤","常勤"))</f>
        <v>常勤</v>
      </c>
      <c r="K16" s="58"/>
      <c r="L16" s="93"/>
      <c r="M16" s="60"/>
      <c r="N16" s="60"/>
      <c r="O16" s="114"/>
      <c r="P16" s="67" t="s">
        <v>156</v>
      </c>
      <c r="Q16" s="114"/>
      <c r="R16" s="67" t="s">
        <v>157</v>
      </c>
      <c r="S16" s="60"/>
    </row>
    <row r="17" spans="1:21" ht="19.5" customHeight="1" thickBot="1">
      <c r="A17" s="265"/>
      <c r="B17" s="75" t="s">
        <v>45</v>
      </c>
      <c r="C17" s="68"/>
      <c r="D17" s="69" t="s">
        <v>116</v>
      </c>
      <c r="E17" s="56" t="s">
        <v>227</v>
      </c>
      <c r="F17" s="57"/>
      <c r="G17" s="57"/>
      <c r="H17" s="61"/>
      <c r="I17" s="62">
        <f>U13</f>
        <v>160</v>
      </c>
      <c r="J17" s="63" t="str">
        <f>IF(I17="","",IF(I17&lt;$U$13,"!NG!","常勤"))</f>
        <v>常勤</v>
      </c>
      <c r="K17" s="58"/>
      <c r="L17" s="94"/>
      <c r="M17" s="60"/>
      <c r="N17" s="60"/>
      <c r="O17" s="114"/>
      <c r="P17" s="67" t="s">
        <v>156</v>
      </c>
      <c r="Q17" s="114"/>
      <c r="R17" s="67" t="s">
        <v>157</v>
      </c>
      <c r="S17" s="60"/>
    </row>
    <row r="18" spans="1:21" ht="24.95" customHeight="1" thickBot="1">
      <c r="A18" s="265"/>
      <c r="B18" s="70" t="str">
        <f>IF((①基本情報!M2*①基本情報!M3)&gt;=1,"主幹専任化代替(１号)","【主幹専任化不可（実施事業数不足）】")</f>
        <v>主幹専任化代替(１号)</v>
      </c>
      <c r="C18" s="56" t="s">
        <v>97</v>
      </c>
      <c r="D18" s="69" t="s">
        <v>107</v>
      </c>
      <c r="E18" s="56" t="s">
        <v>227</v>
      </c>
      <c r="F18" s="57" t="s">
        <v>86</v>
      </c>
      <c r="G18" s="57" t="s">
        <v>86</v>
      </c>
      <c r="H18" s="61"/>
      <c r="I18" s="58">
        <v>80</v>
      </c>
      <c r="J18" s="64" t="str">
        <f>IF(I18="","",IF(I18&lt;$U$13,"非常勤","常勤"))</f>
        <v>非常勤</v>
      </c>
      <c r="K18" s="58"/>
      <c r="L18" s="94"/>
      <c r="M18" s="60"/>
      <c r="N18" s="60"/>
      <c r="O18" s="114"/>
      <c r="P18" s="67" t="s">
        <v>156</v>
      </c>
      <c r="Q18" s="114"/>
      <c r="R18" s="67" t="s">
        <v>157</v>
      </c>
      <c r="S18" s="60"/>
      <c r="T18" s="6"/>
      <c r="U18" s="6"/>
    </row>
    <row r="19" spans="1:21" ht="24.95" customHeight="1" thickBot="1">
      <c r="A19" s="265"/>
      <c r="B19" s="115" t="str">
        <f>IF((①基本情報!M2*①基本情報!M3)&gt;=1,"主幹専任化代替(２・３号)","【主幹専任化不可（実施事業数不足）】")</f>
        <v>主幹専任化代替(２・３号)</v>
      </c>
      <c r="C19" s="56" t="s">
        <v>97</v>
      </c>
      <c r="D19" s="69" t="s">
        <v>106</v>
      </c>
      <c r="E19" s="56" t="s">
        <v>227</v>
      </c>
      <c r="F19" s="57" t="s">
        <v>86</v>
      </c>
      <c r="G19" s="57" t="s">
        <v>86</v>
      </c>
      <c r="H19" s="56"/>
      <c r="I19" s="62">
        <f>U13</f>
        <v>160</v>
      </c>
      <c r="J19" s="63" t="str">
        <f>IF(I19="","",IF(I19&lt;$U$13,"!NG!","常勤"))</f>
        <v>常勤</v>
      </c>
      <c r="K19" s="58"/>
      <c r="L19" s="93"/>
      <c r="M19" s="60"/>
      <c r="N19" s="60"/>
      <c r="O19" s="114"/>
      <c r="P19" s="67" t="s">
        <v>156</v>
      </c>
      <c r="Q19" s="114"/>
      <c r="R19" s="67" t="s">
        <v>157</v>
      </c>
      <c r="S19" s="60"/>
    </row>
    <row r="20" spans="1:21" ht="24.95" customHeight="1" thickBot="1">
      <c r="A20" s="265"/>
      <c r="B20" s="64" t="s">
        <v>29</v>
      </c>
      <c r="C20" s="56" t="s">
        <v>98</v>
      </c>
      <c r="D20" s="171" t="s">
        <v>279</v>
      </c>
      <c r="E20" s="56" t="s">
        <v>227</v>
      </c>
      <c r="F20" s="65"/>
      <c r="G20" s="57"/>
      <c r="H20" s="56"/>
      <c r="I20" s="56">
        <v>80</v>
      </c>
      <c r="J20" s="64" t="str">
        <f>IF(I20="","",IF(I20&lt;$U$13,"非常勤","常勤"))</f>
        <v>非常勤</v>
      </c>
      <c r="K20" s="58"/>
      <c r="L20" s="93"/>
      <c r="M20" s="60"/>
      <c r="N20" s="60"/>
      <c r="O20" s="114"/>
      <c r="P20" s="67" t="s">
        <v>156</v>
      </c>
      <c r="Q20" s="114"/>
      <c r="R20" s="67" t="s">
        <v>157</v>
      </c>
      <c r="S20" s="60"/>
      <c r="T20" s="6"/>
    </row>
    <row r="21" spans="1:21" ht="24.95" customHeight="1" thickBot="1">
      <c r="A21" s="265"/>
      <c r="B21" s="64" t="str">
        <f>IF(①基本情報!H17&lt;36,"講師配置加算",IF(①基本情報!H17&gt;120,"講師配置加算","【適用不可】講師配置加算"))</f>
        <v>講師配置加算</v>
      </c>
      <c r="C21" s="56" t="s">
        <v>97</v>
      </c>
      <c r="D21" s="171" t="s">
        <v>279</v>
      </c>
      <c r="E21" s="56" t="s">
        <v>227</v>
      </c>
      <c r="F21" s="66" t="s">
        <v>19</v>
      </c>
      <c r="G21" s="67"/>
      <c r="H21" s="56"/>
      <c r="I21" s="56">
        <v>80</v>
      </c>
      <c r="J21" s="64" t="str">
        <f>IF(I21="","",IF(I21&lt;$U$13,"非常勤","常勤"))</f>
        <v>非常勤</v>
      </c>
      <c r="K21" s="58"/>
      <c r="L21" s="93"/>
      <c r="M21" s="60"/>
      <c r="N21" s="60"/>
      <c r="O21" s="114"/>
      <c r="P21" s="67" t="s">
        <v>156</v>
      </c>
      <c r="Q21" s="114"/>
      <c r="R21" s="67" t="s">
        <v>157</v>
      </c>
      <c r="S21" s="60"/>
      <c r="T21" s="6"/>
    </row>
    <row r="22" spans="1:21" ht="24.95" customHeight="1">
      <c r="A22" s="265"/>
      <c r="B22" s="64" t="s">
        <v>201</v>
      </c>
      <c r="C22" s="56" t="s">
        <v>288</v>
      </c>
      <c r="D22" s="69" t="s">
        <v>111</v>
      </c>
      <c r="E22" s="56" t="s">
        <v>227</v>
      </c>
      <c r="F22" s="57"/>
      <c r="G22" s="57"/>
      <c r="H22" s="56"/>
      <c r="I22" s="56">
        <v>160</v>
      </c>
      <c r="J22" s="64" t="str">
        <f>IF($C$22="園長兼務","",IF(I22="","",IF(I22&lt;$U$13,"非常勤","常勤")))</f>
        <v>常勤</v>
      </c>
      <c r="K22" s="58"/>
      <c r="L22" s="93"/>
      <c r="M22" s="60"/>
      <c r="N22" s="60"/>
      <c r="O22" s="114"/>
      <c r="P22" s="67" t="s">
        <v>156</v>
      </c>
      <c r="Q22" s="114"/>
      <c r="R22" s="67" t="s">
        <v>157</v>
      </c>
      <c r="S22" s="60"/>
    </row>
    <row r="23" spans="1:21" ht="24.95" customHeight="1">
      <c r="A23" s="265"/>
      <c r="B23" s="64" t="s">
        <v>201</v>
      </c>
      <c r="C23" s="133" t="s">
        <v>87</v>
      </c>
      <c r="D23" s="69" t="s">
        <v>109</v>
      </c>
      <c r="E23" s="56" t="s">
        <v>227</v>
      </c>
      <c r="F23" s="57"/>
      <c r="G23" s="57"/>
      <c r="H23" s="56"/>
      <c r="I23" s="56">
        <v>120</v>
      </c>
      <c r="J23" s="64" t="str">
        <f>IF(I23="","",IF(I23&lt;$U$13,"非常勤","常勤"))</f>
        <v>非常勤</v>
      </c>
      <c r="K23" s="58"/>
      <c r="L23" s="93"/>
      <c r="M23" s="60"/>
      <c r="N23" s="60"/>
      <c r="O23" s="114"/>
      <c r="P23" s="67" t="s">
        <v>156</v>
      </c>
      <c r="Q23" s="114"/>
      <c r="R23" s="67" t="s">
        <v>157</v>
      </c>
      <c r="S23" s="60"/>
      <c r="T23" s="6"/>
    </row>
    <row r="24" spans="1:21" ht="24.95" customHeight="1">
      <c r="A24" s="265"/>
      <c r="B24" s="68"/>
      <c r="C24" s="56" t="s">
        <v>89</v>
      </c>
      <c r="D24" s="69" t="s">
        <v>105</v>
      </c>
      <c r="E24" s="56" t="s">
        <v>227</v>
      </c>
      <c r="F24" s="57"/>
      <c r="G24" s="57"/>
      <c r="H24" s="56"/>
      <c r="I24" s="56">
        <v>160</v>
      </c>
      <c r="J24" s="64" t="str">
        <f>IF(I24="","",IF(I24&lt;$U$13,"非常勤","常勤"))</f>
        <v>常勤</v>
      </c>
      <c r="K24" s="58"/>
      <c r="L24" s="93"/>
      <c r="M24" s="60"/>
      <c r="N24" s="60"/>
      <c r="O24" s="114"/>
      <c r="P24" s="67" t="s">
        <v>156</v>
      </c>
      <c r="Q24" s="114"/>
      <c r="R24" s="67" t="s">
        <v>157</v>
      </c>
      <c r="S24" s="60"/>
    </row>
    <row r="25" spans="1:21" ht="24.95" customHeight="1">
      <c r="A25" s="265"/>
      <c r="B25" s="68"/>
      <c r="C25" s="56" t="s">
        <v>90</v>
      </c>
      <c r="D25" s="69" t="s">
        <v>105</v>
      </c>
      <c r="E25" s="56" t="s">
        <v>227</v>
      </c>
      <c r="F25" s="57"/>
      <c r="G25" s="57"/>
      <c r="H25" s="56"/>
      <c r="I25" s="56">
        <v>160</v>
      </c>
      <c r="J25" s="64" t="str">
        <f>IF(I25="","",IF(I25&lt;$U$13,"非常勤","常勤"))</f>
        <v>常勤</v>
      </c>
      <c r="K25" s="58"/>
      <c r="L25" s="93"/>
      <c r="M25" s="60"/>
      <c r="N25" s="60"/>
      <c r="O25" s="114"/>
      <c r="P25" s="67" t="s">
        <v>156</v>
      </c>
      <c r="Q25" s="114"/>
      <c r="R25" s="67" t="s">
        <v>157</v>
      </c>
      <c r="S25" s="60"/>
    </row>
    <row r="26" spans="1:21" ht="24.95" customHeight="1">
      <c r="A26" s="265"/>
      <c r="B26" s="68"/>
      <c r="C26" s="56" t="s">
        <v>90</v>
      </c>
      <c r="D26" s="69" t="s">
        <v>105</v>
      </c>
      <c r="E26" s="56" t="s">
        <v>227</v>
      </c>
      <c r="F26" s="57"/>
      <c r="G26" s="57"/>
      <c r="H26" s="56"/>
      <c r="I26" s="56">
        <v>160</v>
      </c>
      <c r="J26" s="64" t="str">
        <f>IF(I26="","",IF(I26&lt;$U$13,"非常勤","常勤"))</f>
        <v>常勤</v>
      </c>
      <c r="K26" s="58"/>
      <c r="L26" s="93"/>
      <c r="M26" s="60"/>
      <c r="N26" s="60"/>
      <c r="O26" s="114"/>
      <c r="P26" s="67" t="s">
        <v>156</v>
      </c>
      <c r="Q26" s="114"/>
      <c r="R26" s="67" t="s">
        <v>157</v>
      </c>
      <c r="S26" s="60"/>
    </row>
    <row r="27" spans="1:21" ht="24.95" customHeight="1">
      <c r="A27" s="265"/>
      <c r="B27" s="68"/>
      <c r="C27" s="56" t="s">
        <v>91</v>
      </c>
      <c r="D27" s="61"/>
      <c r="E27" s="56" t="s">
        <v>227</v>
      </c>
      <c r="F27" s="57"/>
      <c r="G27" s="57"/>
      <c r="H27" s="56"/>
      <c r="I27" s="56">
        <v>120</v>
      </c>
      <c r="J27" s="64" t="str">
        <f>IF(I27="","",IF(I27&lt;$U$13,"非常勤","常勤"))</f>
        <v>非常勤</v>
      </c>
      <c r="K27" s="58"/>
      <c r="L27" s="93"/>
      <c r="M27" s="60"/>
      <c r="N27" s="60"/>
      <c r="O27" s="114"/>
      <c r="P27" s="67" t="s">
        <v>156</v>
      </c>
      <c r="Q27" s="114"/>
      <c r="R27" s="67" t="s">
        <v>157</v>
      </c>
      <c r="S27" s="60"/>
    </row>
    <row r="28" spans="1:21" ht="24.95" customHeight="1">
      <c r="A28" s="265"/>
      <c r="B28" s="68"/>
      <c r="C28" s="56"/>
      <c r="D28" s="61"/>
      <c r="E28" s="56"/>
      <c r="F28" s="57"/>
      <c r="G28" s="57"/>
      <c r="H28" s="56"/>
      <c r="I28" s="56"/>
      <c r="J28" s="64" t="str">
        <f t="shared" ref="J28:J31" si="0">IF(I28="","",IF(I28&lt;$U$13,"非常勤","常勤"))</f>
        <v/>
      </c>
      <c r="K28" s="58"/>
      <c r="L28" s="93"/>
      <c r="M28" s="60"/>
      <c r="N28" s="60"/>
      <c r="O28" s="114"/>
      <c r="P28" s="67" t="s">
        <v>156</v>
      </c>
      <c r="Q28" s="114"/>
      <c r="R28" s="67" t="s">
        <v>157</v>
      </c>
      <c r="S28" s="60"/>
    </row>
    <row r="29" spans="1:21" ht="24.95" customHeight="1">
      <c r="A29" s="265"/>
      <c r="B29" s="68"/>
      <c r="C29" s="56"/>
      <c r="D29" s="61"/>
      <c r="E29" s="56"/>
      <c r="F29" s="57"/>
      <c r="G29" s="57"/>
      <c r="H29" s="56"/>
      <c r="I29" s="56"/>
      <c r="J29" s="64" t="str">
        <f t="shared" si="0"/>
        <v/>
      </c>
      <c r="K29" s="58"/>
      <c r="L29" s="93"/>
      <c r="M29" s="60"/>
      <c r="N29" s="60"/>
      <c r="O29" s="114"/>
      <c r="P29" s="67" t="s">
        <v>156</v>
      </c>
      <c r="Q29" s="114"/>
      <c r="R29" s="67" t="s">
        <v>157</v>
      </c>
      <c r="S29" s="60"/>
    </row>
    <row r="30" spans="1:21" ht="24.95" customHeight="1">
      <c r="A30" s="265"/>
      <c r="B30" s="68"/>
      <c r="C30" s="56"/>
      <c r="D30" s="61"/>
      <c r="E30" s="56"/>
      <c r="F30" s="57"/>
      <c r="G30" s="57"/>
      <c r="H30" s="56"/>
      <c r="I30" s="56"/>
      <c r="J30" s="64" t="str">
        <f t="shared" si="0"/>
        <v/>
      </c>
      <c r="K30" s="58"/>
      <c r="L30" s="93"/>
      <c r="M30" s="60"/>
      <c r="N30" s="60"/>
      <c r="O30" s="114"/>
      <c r="P30" s="67" t="s">
        <v>156</v>
      </c>
      <c r="Q30" s="114"/>
      <c r="R30" s="67" t="s">
        <v>157</v>
      </c>
      <c r="S30" s="60"/>
    </row>
    <row r="31" spans="1:21" ht="24.95" customHeight="1">
      <c r="A31" s="266"/>
      <c r="B31" s="68"/>
      <c r="C31" s="56"/>
      <c r="D31" s="56"/>
      <c r="E31" s="56"/>
      <c r="F31" s="57"/>
      <c r="G31" s="57"/>
      <c r="H31" s="56"/>
      <c r="I31" s="56"/>
      <c r="J31" s="64" t="str">
        <f t="shared" si="0"/>
        <v/>
      </c>
      <c r="K31" s="58"/>
      <c r="L31" s="93"/>
      <c r="M31" s="60"/>
      <c r="N31" s="60"/>
      <c r="O31" s="114"/>
      <c r="P31" s="67" t="s">
        <v>156</v>
      </c>
      <c r="Q31" s="114"/>
      <c r="R31" s="67" t="s">
        <v>157</v>
      </c>
      <c r="S31" s="60"/>
    </row>
    <row r="32" spans="1:21" s="123" customFormat="1" ht="6" customHeight="1">
      <c r="A32" s="119"/>
      <c r="B32" s="120"/>
      <c r="C32" s="120"/>
      <c r="D32" s="120"/>
      <c r="E32" s="120"/>
      <c r="F32" s="121"/>
      <c r="G32" s="120"/>
      <c r="H32" s="120"/>
      <c r="I32" s="120"/>
      <c r="J32" s="120"/>
      <c r="K32" s="120"/>
      <c r="L32" s="122"/>
      <c r="M32" s="120"/>
      <c r="N32" s="120"/>
      <c r="O32" s="120"/>
      <c r="P32" s="120"/>
      <c r="Q32" s="120"/>
      <c r="R32" s="120"/>
      <c r="S32" s="120"/>
      <c r="T32" s="102"/>
    </row>
    <row r="33" spans="1:25" ht="24.95" customHeight="1">
      <c r="A33" s="261" t="s">
        <v>161</v>
      </c>
      <c r="B33" s="267" t="s">
        <v>260</v>
      </c>
      <c r="C33" s="56"/>
      <c r="D33" s="56"/>
      <c r="E33" s="56"/>
      <c r="F33" s="57"/>
      <c r="G33" s="57"/>
      <c r="H33" s="56"/>
      <c r="I33" s="56"/>
      <c r="J33" s="64" t="str">
        <f t="shared" ref="J33:J37" si="1">IF(I33="","",IF(I33&lt;$U$13,"非常勤","常勤"))</f>
        <v/>
      </c>
      <c r="K33" s="58"/>
      <c r="L33" s="93"/>
      <c r="M33" s="60"/>
      <c r="N33" s="60"/>
      <c r="O33" s="114"/>
      <c r="P33" s="67" t="s">
        <v>156</v>
      </c>
      <c r="Q33" s="114"/>
      <c r="R33" s="67" t="s">
        <v>157</v>
      </c>
      <c r="S33" s="60"/>
    </row>
    <row r="34" spans="1:25" ht="24.95" customHeight="1">
      <c r="A34" s="262"/>
      <c r="B34" s="268"/>
      <c r="C34" s="56"/>
      <c r="D34" s="56"/>
      <c r="E34" s="56"/>
      <c r="F34" s="57"/>
      <c r="G34" s="57"/>
      <c r="H34" s="56"/>
      <c r="I34" s="56"/>
      <c r="J34" s="64" t="str">
        <f t="shared" si="1"/>
        <v/>
      </c>
      <c r="K34" s="58"/>
      <c r="L34" s="93"/>
      <c r="M34" s="60"/>
      <c r="N34" s="60"/>
      <c r="O34" s="114"/>
      <c r="P34" s="67" t="s">
        <v>156</v>
      </c>
      <c r="Q34" s="114"/>
      <c r="R34" s="67" t="s">
        <v>157</v>
      </c>
      <c r="S34" s="60"/>
    </row>
    <row r="35" spans="1:25" ht="24.95" customHeight="1">
      <c r="A35" s="262"/>
      <c r="B35" s="268"/>
      <c r="C35" s="56"/>
      <c r="D35" s="56"/>
      <c r="E35" s="56"/>
      <c r="F35" s="57"/>
      <c r="G35" s="57"/>
      <c r="H35" s="56"/>
      <c r="I35" s="56"/>
      <c r="J35" s="64" t="str">
        <f t="shared" si="1"/>
        <v/>
      </c>
      <c r="K35" s="58"/>
      <c r="L35" s="93"/>
      <c r="M35" s="60"/>
      <c r="N35" s="60"/>
      <c r="O35" s="114"/>
      <c r="P35" s="67" t="s">
        <v>156</v>
      </c>
      <c r="Q35" s="114"/>
      <c r="R35" s="67" t="s">
        <v>157</v>
      </c>
      <c r="S35" s="60"/>
    </row>
    <row r="36" spans="1:25" ht="24.95" customHeight="1">
      <c r="A36" s="262"/>
      <c r="B36" s="268"/>
      <c r="C36" s="56"/>
      <c r="D36" s="56"/>
      <c r="E36" s="56"/>
      <c r="F36" s="57"/>
      <c r="G36" s="57"/>
      <c r="H36" s="56"/>
      <c r="I36" s="56"/>
      <c r="J36" s="64" t="str">
        <f t="shared" si="1"/>
        <v/>
      </c>
      <c r="K36" s="58"/>
      <c r="L36" s="93"/>
      <c r="M36" s="60"/>
      <c r="N36" s="60"/>
      <c r="O36" s="114"/>
      <c r="P36" s="67" t="s">
        <v>156</v>
      </c>
      <c r="Q36" s="114"/>
      <c r="R36" s="67" t="s">
        <v>157</v>
      </c>
      <c r="S36" s="60"/>
    </row>
    <row r="37" spans="1:25" ht="24.95" hidden="1" customHeight="1">
      <c r="A37" s="263"/>
      <c r="B37" s="269"/>
      <c r="C37" s="56"/>
      <c r="D37" s="56"/>
      <c r="E37" s="56"/>
      <c r="F37" s="57"/>
      <c r="G37" s="57"/>
      <c r="H37" s="56"/>
      <c r="I37" s="56"/>
      <c r="J37" s="64" t="str">
        <f t="shared" si="1"/>
        <v/>
      </c>
      <c r="K37" s="58"/>
      <c r="L37" s="93"/>
      <c r="M37" s="60"/>
      <c r="N37" s="60"/>
      <c r="O37" s="114"/>
      <c r="P37" s="67" t="s">
        <v>156</v>
      </c>
      <c r="Q37" s="114"/>
      <c r="R37" s="67" t="s">
        <v>157</v>
      </c>
      <c r="S37" s="60"/>
    </row>
    <row r="38" spans="1:25" s="123" customFormat="1" ht="6" customHeight="1">
      <c r="A38" s="119"/>
      <c r="B38" s="120"/>
      <c r="C38" s="120"/>
      <c r="D38" s="120"/>
      <c r="E38" s="120"/>
      <c r="F38" s="121"/>
      <c r="G38" s="120"/>
      <c r="H38" s="120"/>
      <c r="I38" s="120"/>
      <c r="J38" s="120"/>
      <c r="K38" s="120"/>
      <c r="L38" s="122"/>
      <c r="M38" s="120"/>
      <c r="N38" s="120"/>
      <c r="O38" s="120"/>
      <c r="P38" s="120"/>
      <c r="Q38" s="120"/>
      <c r="R38" s="120"/>
      <c r="S38" s="120"/>
      <c r="T38" s="102"/>
    </row>
    <row r="39" spans="1:25" ht="24.95" customHeight="1">
      <c r="A39" s="124" t="s">
        <v>162</v>
      </c>
      <c r="B39" s="68"/>
      <c r="C39" s="70" t="s">
        <v>159</v>
      </c>
      <c r="D39" s="69" t="s">
        <v>110</v>
      </c>
      <c r="E39" s="56" t="s">
        <v>160</v>
      </c>
      <c r="F39" s="57" t="s">
        <v>86</v>
      </c>
      <c r="G39" s="57" t="s">
        <v>86</v>
      </c>
      <c r="H39" s="56"/>
      <c r="I39" s="56">
        <v>120</v>
      </c>
      <c r="J39" s="64" t="str">
        <f t="shared" ref="J39" si="2">IF(I39="","",IF(I39&lt;$U$13,"非常勤","常勤"))</f>
        <v>非常勤</v>
      </c>
      <c r="K39" s="58"/>
      <c r="L39" s="93"/>
      <c r="M39" s="60"/>
      <c r="N39" s="60"/>
      <c r="O39" s="114"/>
      <c r="P39" s="67" t="s">
        <v>156</v>
      </c>
      <c r="Q39" s="114"/>
      <c r="R39" s="67" t="s">
        <v>157</v>
      </c>
      <c r="S39" s="60"/>
    </row>
    <row r="40" spans="1:25" s="123" customFormat="1" ht="6" customHeight="1">
      <c r="A40" s="119"/>
      <c r="B40" s="120"/>
      <c r="C40" s="120"/>
      <c r="D40" s="120"/>
      <c r="E40" s="120"/>
      <c r="F40" s="121"/>
      <c r="G40" s="120"/>
      <c r="H40" s="120"/>
      <c r="I40" s="120"/>
      <c r="J40" s="120"/>
      <c r="K40" s="120"/>
      <c r="L40" s="122"/>
      <c r="M40" s="120"/>
      <c r="N40" s="120"/>
      <c r="O40" s="120"/>
      <c r="P40" s="120"/>
      <c r="Q40" s="120"/>
      <c r="R40" s="120"/>
      <c r="S40" s="120"/>
      <c r="T40" s="102"/>
    </row>
    <row r="41" spans="1:25" s="123" customFormat="1" ht="13.5" customHeight="1">
      <c r="A41" s="247" t="s">
        <v>202</v>
      </c>
      <c r="B41" s="248"/>
      <c r="C41" s="248"/>
      <c r="D41" s="248"/>
      <c r="E41" s="248"/>
      <c r="F41" s="248"/>
      <c r="G41" s="248"/>
      <c r="H41" s="248"/>
      <c r="I41" s="248"/>
      <c r="J41" s="248"/>
      <c r="K41" s="248"/>
      <c r="L41" s="249"/>
      <c r="M41" s="250"/>
      <c r="N41" s="250"/>
      <c r="O41" s="250"/>
      <c r="P41" s="250"/>
      <c r="Q41" s="250"/>
      <c r="R41" s="250"/>
      <c r="S41" s="250"/>
      <c r="T41" s="102"/>
    </row>
    <row r="42" spans="1:25" ht="24.95" customHeight="1">
      <c r="A42" s="5">
        <v>1</v>
      </c>
      <c r="B42" s="75" t="s">
        <v>117</v>
      </c>
      <c r="C42" s="64" t="s">
        <v>99</v>
      </c>
      <c r="D42" s="74" t="s">
        <v>93</v>
      </c>
      <c r="E42" s="56" t="s">
        <v>227</v>
      </c>
      <c r="F42" s="57"/>
      <c r="G42" s="57"/>
      <c r="H42" s="56"/>
      <c r="I42" s="56">
        <v>160</v>
      </c>
      <c r="J42" s="64" t="str">
        <f t="shared" ref="J42:J91" si="3">IF(I42="","",IF(I42&lt;$U$13,"非常勤","常勤"))</f>
        <v>常勤</v>
      </c>
      <c r="K42" s="58"/>
      <c r="L42" s="93"/>
      <c r="M42" s="60"/>
      <c r="N42" s="60"/>
      <c r="O42" s="114"/>
      <c r="P42" s="67" t="s">
        <v>156</v>
      </c>
      <c r="Q42" s="114"/>
      <c r="R42" s="67" t="s">
        <v>157</v>
      </c>
      <c r="S42" s="60"/>
      <c r="U42" t="s">
        <v>290</v>
      </c>
      <c r="V42" s="46" t="s">
        <v>73</v>
      </c>
      <c r="W42" s="47" t="s">
        <v>74</v>
      </c>
      <c r="X42" s="47" t="s">
        <v>75</v>
      </c>
    </row>
    <row r="43" spans="1:25" ht="24.95" customHeight="1">
      <c r="A43" s="5">
        <v>2</v>
      </c>
      <c r="B43" s="75" t="s">
        <v>117</v>
      </c>
      <c r="C43" s="64" t="s">
        <v>99</v>
      </c>
      <c r="D43" s="74" t="s">
        <v>92</v>
      </c>
      <c r="E43" s="56" t="s">
        <v>227</v>
      </c>
      <c r="F43" s="57"/>
      <c r="G43" s="57"/>
      <c r="H43" s="56"/>
      <c r="I43" s="56">
        <v>160</v>
      </c>
      <c r="J43" s="64" t="str">
        <f t="shared" si="3"/>
        <v>常勤</v>
      </c>
      <c r="K43" s="58"/>
      <c r="L43" s="93"/>
      <c r="M43" s="60"/>
      <c r="N43" s="60"/>
      <c r="O43" s="114"/>
      <c r="P43" s="67" t="s">
        <v>156</v>
      </c>
      <c r="Q43" s="114"/>
      <c r="R43" s="67" t="s">
        <v>157</v>
      </c>
      <c r="S43" s="60"/>
      <c r="U43" s="44" t="s">
        <v>76</v>
      </c>
      <c r="V43" s="45">
        <f>COUNTIF($J$42:$J92,"常勤")+COUNTIF(J39,"常勤")</f>
        <v>18</v>
      </c>
      <c r="W43" s="45">
        <f>V43*U13</f>
        <v>2880</v>
      </c>
      <c r="X43" s="45"/>
    </row>
    <row r="44" spans="1:25" ht="24.95" customHeight="1">
      <c r="A44" s="5">
        <v>3</v>
      </c>
      <c r="B44" s="68"/>
      <c r="C44" s="56" t="s">
        <v>99</v>
      </c>
      <c r="D44" s="56" t="s">
        <v>14</v>
      </c>
      <c r="E44" s="56" t="s">
        <v>227</v>
      </c>
      <c r="F44" s="57" t="s">
        <v>86</v>
      </c>
      <c r="G44" s="57" t="s">
        <v>86</v>
      </c>
      <c r="H44" s="56"/>
      <c r="I44" s="56">
        <v>160</v>
      </c>
      <c r="J44" s="64" t="str">
        <f t="shared" ref="J44:J63" si="4">IF(I44="","",IF(I44&lt;$U$13,"非常勤","常勤"))</f>
        <v>常勤</v>
      </c>
      <c r="K44" s="58"/>
      <c r="L44" s="93"/>
      <c r="M44" s="60"/>
      <c r="N44" s="60"/>
      <c r="O44" s="114"/>
      <c r="P44" s="67" t="s">
        <v>156</v>
      </c>
      <c r="Q44" s="114"/>
      <c r="R44" s="67" t="s">
        <v>157</v>
      </c>
      <c r="S44" s="60"/>
      <c r="U44" s="45" t="s">
        <v>77</v>
      </c>
      <c r="V44" s="45">
        <f>COUNTIF($J$42:$J92,"非常勤")+COUNTIF(J39,"非常勤")</f>
        <v>5</v>
      </c>
      <c r="W44" s="45">
        <f>SUMIFS($I$42:$I92,$J$42:$J92,"非常勤")+I39</f>
        <v>420</v>
      </c>
      <c r="X44" s="81">
        <f>ROUNDDOWN(W44/U13,1)</f>
        <v>2.6</v>
      </c>
      <c r="Y44" s="178">
        <f>V43+X44</f>
        <v>20.6</v>
      </c>
    </row>
    <row r="45" spans="1:25" ht="24.95" customHeight="1">
      <c r="A45" s="5">
        <v>4</v>
      </c>
      <c r="B45" s="68"/>
      <c r="C45" s="56" t="s">
        <v>99</v>
      </c>
      <c r="D45" s="56" t="s">
        <v>14</v>
      </c>
      <c r="E45" s="56" t="s">
        <v>227</v>
      </c>
      <c r="F45" s="57" t="s">
        <v>86</v>
      </c>
      <c r="G45" s="57" t="s">
        <v>86</v>
      </c>
      <c r="H45" s="56"/>
      <c r="I45" s="56">
        <v>160</v>
      </c>
      <c r="J45" s="64" t="str">
        <f t="shared" si="4"/>
        <v>常勤</v>
      </c>
      <c r="K45" s="58"/>
      <c r="L45" s="93"/>
      <c r="M45" s="60"/>
      <c r="N45" s="60"/>
      <c r="O45" s="114"/>
      <c r="P45" s="67" t="s">
        <v>156</v>
      </c>
      <c r="Q45" s="114"/>
      <c r="R45" s="67" t="s">
        <v>157</v>
      </c>
      <c r="S45" s="60"/>
      <c r="U45" t="s">
        <v>289</v>
      </c>
      <c r="V45" s="46" t="s">
        <v>73</v>
      </c>
      <c r="W45" s="47" t="s">
        <v>74</v>
      </c>
      <c r="X45" s="47" t="s">
        <v>75</v>
      </c>
    </row>
    <row r="46" spans="1:25" ht="24.95" customHeight="1">
      <c r="A46" s="5">
        <v>5</v>
      </c>
      <c r="B46" s="68"/>
      <c r="C46" s="56" t="s">
        <v>99</v>
      </c>
      <c r="D46" s="56" t="s">
        <v>15</v>
      </c>
      <c r="E46" s="56" t="s">
        <v>227</v>
      </c>
      <c r="F46" s="57" t="s">
        <v>86</v>
      </c>
      <c r="G46" s="57" t="s">
        <v>86</v>
      </c>
      <c r="H46" s="56"/>
      <c r="I46" s="56">
        <v>160</v>
      </c>
      <c r="J46" s="64" t="str">
        <f t="shared" si="4"/>
        <v>常勤</v>
      </c>
      <c r="K46" s="58"/>
      <c r="L46" s="93"/>
      <c r="M46" s="60"/>
      <c r="N46" s="60"/>
      <c r="O46" s="114"/>
      <c r="P46" s="67" t="s">
        <v>156</v>
      </c>
      <c r="Q46" s="114"/>
      <c r="R46" s="67" t="s">
        <v>157</v>
      </c>
      <c r="S46" s="60"/>
      <c r="U46" s="44" t="s">
        <v>76</v>
      </c>
      <c r="V46" s="45">
        <f>COUNTIF(J16:J31,"常勤")+COUNTIF(J39,"常勤")+COUNTIF(J42:J91,"常勤")</f>
        <v>25</v>
      </c>
      <c r="W46" s="45">
        <f>V46*U13</f>
        <v>4000</v>
      </c>
      <c r="X46" s="45"/>
    </row>
    <row r="47" spans="1:25" ht="24.95" customHeight="1">
      <c r="A47" s="5">
        <v>6</v>
      </c>
      <c r="B47" s="68"/>
      <c r="C47" s="56" t="s">
        <v>99</v>
      </c>
      <c r="D47" s="56" t="s">
        <v>15</v>
      </c>
      <c r="E47" s="56" t="s">
        <v>227</v>
      </c>
      <c r="F47" s="57" t="s">
        <v>86</v>
      </c>
      <c r="G47" s="57" t="s">
        <v>86</v>
      </c>
      <c r="H47" s="56"/>
      <c r="I47" s="56">
        <v>160</v>
      </c>
      <c r="J47" s="64" t="str">
        <f t="shared" si="4"/>
        <v>常勤</v>
      </c>
      <c r="K47" s="58"/>
      <c r="L47" s="93"/>
      <c r="M47" s="60"/>
      <c r="N47" s="60"/>
      <c r="O47" s="114"/>
      <c r="P47" s="67" t="s">
        <v>156</v>
      </c>
      <c r="Q47" s="114"/>
      <c r="R47" s="67" t="s">
        <v>157</v>
      </c>
      <c r="S47" s="60"/>
      <c r="U47" s="45" t="s">
        <v>77</v>
      </c>
      <c r="V47" s="45">
        <f>COUNTIF(J16:J31,"非常勤")+COUNTIF(J39,"非常勤")+COUNTIF(J42:J91,"非常勤")</f>
        <v>10</v>
      </c>
      <c r="W47" s="45">
        <f>SUMIFS(I16:I39,J16:J39,"非常勤")+SUMIFS(I42:I91,J42:J91,"非常勤")</f>
        <v>900</v>
      </c>
      <c r="X47" s="81">
        <f>ROUNDDOWN(W47/U13,1)</f>
        <v>5.6</v>
      </c>
      <c r="Y47" s="178">
        <f>V46+X47</f>
        <v>30.6</v>
      </c>
    </row>
    <row r="48" spans="1:25" ht="24.95" customHeight="1">
      <c r="A48" s="5">
        <v>7</v>
      </c>
      <c r="B48" s="68"/>
      <c r="C48" s="56" t="s">
        <v>99</v>
      </c>
      <c r="D48" s="56" t="s">
        <v>15</v>
      </c>
      <c r="E48" s="56" t="s">
        <v>227</v>
      </c>
      <c r="F48" s="57" t="s">
        <v>86</v>
      </c>
      <c r="G48" s="57" t="s">
        <v>86</v>
      </c>
      <c r="H48" s="56"/>
      <c r="I48" s="56">
        <v>160</v>
      </c>
      <c r="J48" s="64" t="str">
        <f t="shared" si="4"/>
        <v>常勤</v>
      </c>
      <c r="K48" s="58"/>
      <c r="L48" s="93"/>
      <c r="M48" s="60"/>
      <c r="N48" s="60"/>
      <c r="O48" s="114"/>
      <c r="P48" s="67" t="s">
        <v>156</v>
      </c>
      <c r="Q48" s="114"/>
      <c r="R48" s="67" t="s">
        <v>157</v>
      </c>
      <c r="S48" s="60"/>
    </row>
    <row r="49" spans="1:19" ht="24.95" customHeight="1">
      <c r="A49" s="5">
        <v>8</v>
      </c>
      <c r="B49" s="68"/>
      <c r="C49" s="56" t="s">
        <v>99</v>
      </c>
      <c r="D49" s="56" t="s">
        <v>103</v>
      </c>
      <c r="E49" s="56" t="s">
        <v>227</v>
      </c>
      <c r="F49" s="57" t="s">
        <v>86</v>
      </c>
      <c r="G49" s="57" t="s">
        <v>86</v>
      </c>
      <c r="H49" s="56"/>
      <c r="I49" s="56">
        <v>160</v>
      </c>
      <c r="J49" s="64" t="str">
        <f t="shared" si="4"/>
        <v>常勤</v>
      </c>
      <c r="K49" s="58"/>
      <c r="L49" s="93"/>
      <c r="M49" s="60"/>
      <c r="N49" s="60"/>
      <c r="O49" s="114"/>
      <c r="P49" s="67" t="s">
        <v>156</v>
      </c>
      <c r="Q49" s="114"/>
      <c r="R49" s="67" t="s">
        <v>157</v>
      </c>
      <c r="S49" s="60"/>
    </row>
    <row r="50" spans="1:19" ht="24.95" customHeight="1">
      <c r="A50" s="5">
        <v>9</v>
      </c>
      <c r="B50" s="68"/>
      <c r="C50" s="56" t="s">
        <v>99</v>
      </c>
      <c r="D50" s="56" t="s">
        <v>103</v>
      </c>
      <c r="E50" s="56" t="s">
        <v>227</v>
      </c>
      <c r="F50" s="57" t="s">
        <v>86</v>
      </c>
      <c r="G50" s="57" t="s">
        <v>86</v>
      </c>
      <c r="H50" s="56"/>
      <c r="I50" s="56">
        <v>160</v>
      </c>
      <c r="J50" s="64" t="str">
        <f t="shared" si="4"/>
        <v>常勤</v>
      </c>
      <c r="K50" s="58"/>
      <c r="L50" s="93"/>
      <c r="M50" s="60"/>
      <c r="N50" s="60"/>
      <c r="O50" s="114"/>
      <c r="P50" s="67" t="s">
        <v>156</v>
      </c>
      <c r="Q50" s="114"/>
      <c r="R50" s="67" t="s">
        <v>157</v>
      </c>
      <c r="S50" s="60"/>
    </row>
    <row r="51" spans="1:19" ht="24.95" customHeight="1">
      <c r="A51" s="5">
        <v>10</v>
      </c>
      <c r="B51" s="68"/>
      <c r="C51" s="56" t="s">
        <v>99</v>
      </c>
      <c r="D51" s="56" t="s">
        <v>103</v>
      </c>
      <c r="E51" s="56" t="s">
        <v>227</v>
      </c>
      <c r="F51" s="57" t="s">
        <v>86</v>
      </c>
      <c r="G51" s="57" t="s">
        <v>86</v>
      </c>
      <c r="H51" s="56"/>
      <c r="I51" s="56">
        <v>160</v>
      </c>
      <c r="J51" s="64" t="str">
        <f t="shared" si="4"/>
        <v>常勤</v>
      </c>
      <c r="K51" s="58"/>
      <c r="L51" s="93"/>
      <c r="M51" s="60"/>
      <c r="N51" s="60"/>
      <c r="O51" s="114"/>
      <c r="P51" s="67" t="s">
        <v>156</v>
      </c>
      <c r="Q51" s="114"/>
      <c r="R51" s="67" t="s">
        <v>157</v>
      </c>
      <c r="S51" s="60"/>
    </row>
    <row r="52" spans="1:19" ht="24.95" customHeight="1">
      <c r="A52" s="5">
        <v>11</v>
      </c>
      <c r="B52" s="68"/>
      <c r="C52" s="56" t="s">
        <v>99</v>
      </c>
      <c r="D52" s="69" t="s">
        <v>106</v>
      </c>
      <c r="E52" s="56" t="s">
        <v>227</v>
      </c>
      <c r="F52" s="57" t="s">
        <v>86</v>
      </c>
      <c r="G52" s="57" t="s">
        <v>86</v>
      </c>
      <c r="H52" s="56"/>
      <c r="I52" s="56">
        <v>160</v>
      </c>
      <c r="J52" s="64" t="str">
        <f t="shared" si="4"/>
        <v>常勤</v>
      </c>
      <c r="K52" s="58"/>
      <c r="L52" s="93"/>
      <c r="M52" s="60"/>
      <c r="N52" s="60"/>
      <c r="O52" s="114"/>
      <c r="P52" s="67" t="s">
        <v>156</v>
      </c>
      <c r="Q52" s="114"/>
      <c r="R52" s="67" t="s">
        <v>157</v>
      </c>
      <c r="S52" s="60"/>
    </row>
    <row r="53" spans="1:19" ht="24.95" customHeight="1">
      <c r="A53" s="5">
        <v>12</v>
      </c>
      <c r="B53" s="68"/>
      <c r="C53" s="56" t="s">
        <v>99</v>
      </c>
      <c r="D53" s="69" t="s">
        <v>106</v>
      </c>
      <c r="E53" s="56" t="s">
        <v>227</v>
      </c>
      <c r="F53" s="57" t="s">
        <v>86</v>
      </c>
      <c r="G53" s="57" t="s">
        <v>86</v>
      </c>
      <c r="H53" s="56"/>
      <c r="I53" s="56">
        <v>160</v>
      </c>
      <c r="J53" s="64" t="str">
        <f t="shared" si="4"/>
        <v>常勤</v>
      </c>
      <c r="K53" s="58"/>
      <c r="L53" s="93"/>
      <c r="M53" s="60"/>
      <c r="N53" s="60"/>
      <c r="O53" s="114"/>
      <c r="P53" s="67" t="s">
        <v>156</v>
      </c>
      <c r="Q53" s="114"/>
      <c r="R53" s="67" t="s">
        <v>157</v>
      </c>
      <c r="S53" s="60"/>
    </row>
    <row r="54" spans="1:19" ht="24.95" customHeight="1">
      <c r="A54" s="5">
        <v>13</v>
      </c>
      <c r="B54" s="68"/>
      <c r="C54" s="56" t="s">
        <v>99</v>
      </c>
      <c r="D54" s="69" t="s">
        <v>106</v>
      </c>
      <c r="E54" s="56" t="s">
        <v>227</v>
      </c>
      <c r="F54" s="57" t="s">
        <v>86</v>
      </c>
      <c r="G54" s="57" t="s">
        <v>86</v>
      </c>
      <c r="H54" s="56"/>
      <c r="I54" s="56">
        <v>160</v>
      </c>
      <c r="J54" s="64" t="str">
        <f t="shared" si="4"/>
        <v>常勤</v>
      </c>
      <c r="K54" s="58"/>
      <c r="L54" s="93"/>
      <c r="M54" s="60"/>
      <c r="N54" s="60"/>
      <c r="O54" s="114"/>
      <c r="P54" s="67" t="s">
        <v>156</v>
      </c>
      <c r="Q54" s="114"/>
      <c r="R54" s="67" t="s">
        <v>157</v>
      </c>
      <c r="S54" s="60"/>
    </row>
    <row r="55" spans="1:19" ht="24.95" customHeight="1">
      <c r="A55" s="5">
        <v>14</v>
      </c>
      <c r="B55" s="68"/>
      <c r="C55" s="56" t="s">
        <v>99</v>
      </c>
      <c r="D55" s="69" t="s">
        <v>106</v>
      </c>
      <c r="E55" s="56" t="s">
        <v>227</v>
      </c>
      <c r="F55" s="57" t="s">
        <v>86</v>
      </c>
      <c r="G55" s="57" t="s">
        <v>86</v>
      </c>
      <c r="H55" s="56"/>
      <c r="I55" s="56">
        <v>160</v>
      </c>
      <c r="J55" s="64" t="str">
        <f t="shared" si="4"/>
        <v>常勤</v>
      </c>
      <c r="K55" s="58"/>
      <c r="L55" s="93"/>
      <c r="M55" s="60"/>
      <c r="N55" s="60"/>
      <c r="O55" s="114"/>
      <c r="P55" s="67" t="s">
        <v>156</v>
      </c>
      <c r="Q55" s="114"/>
      <c r="R55" s="67" t="s">
        <v>157</v>
      </c>
      <c r="S55" s="60"/>
    </row>
    <row r="56" spans="1:19" ht="24.95" customHeight="1">
      <c r="A56" s="5">
        <v>15</v>
      </c>
      <c r="B56" s="68"/>
      <c r="C56" s="56" t="s">
        <v>99</v>
      </c>
      <c r="D56" s="69" t="s">
        <v>107</v>
      </c>
      <c r="E56" s="56" t="s">
        <v>227</v>
      </c>
      <c r="F56" s="57" t="s">
        <v>86</v>
      </c>
      <c r="G56" s="57" t="s">
        <v>86</v>
      </c>
      <c r="H56" s="56"/>
      <c r="I56" s="56">
        <v>160</v>
      </c>
      <c r="J56" s="64" t="str">
        <f t="shared" si="4"/>
        <v>常勤</v>
      </c>
      <c r="K56" s="58"/>
      <c r="L56" s="93"/>
      <c r="M56" s="60"/>
      <c r="N56" s="60"/>
      <c r="O56" s="114"/>
      <c r="P56" s="67" t="s">
        <v>156</v>
      </c>
      <c r="Q56" s="114"/>
      <c r="R56" s="67" t="s">
        <v>157</v>
      </c>
      <c r="S56" s="60"/>
    </row>
    <row r="57" spans="1:19" ht="24.95" customHeight="1">
      <c r="A57" s="5">
        <v>16</v>
      </c>
      <c r="B57" s="68"/>
      <c r="C57" s="56" t="s">
        <v>99</v>
      </c>
      <c r="D57" s="69" t="s">
        <v>107</v>
      </c>
      <c r="E57" s="56" t="s">
        <v>227</v>
      </c>
      <c r="F57" s="57" t="s">
        <v>86</v>
      </c>
      <c r="G57" s="57" t="s">
        <v>86</v>
      </c>
      <c r="H57" s="56"/>
      <c r="I57" s="56">
        <v>160</v>
      </c>
      <c r="J57" s="64" t="str">
        <f t="shared" si="4"/>
        <v>常勤</v>
      </c>
      <c r="K57" s="58"/>
      <c r="L57" s="93"/>
      <c r="M57" s="60"/>
      <c r="N57" s="60"/>
      <c r="O57" s="114"/>
      <c r="P57" s="67" t="s">
        <v>156</v>
      </c>
      <c r="Q57" s="114"/>
      <c r="R57" s="67" t="s">
        <v>157</v>
      </c>
      <c r="S57" s="60"/>
    </row>
    <row r="58" spans="1:19" ht="24.95" customHeight="1">
      <c r="A58" s="5">
        <v>17</v>
      </c>
      <c r="B58" s="68"/>
      <c r="C58" s="56" t="s">
        <v>99</v>
      </c>
      <c r="D58" s="69" t="s">
        <v>108</v>
      </c>
      <c r="E58" s="56" t="s">
        <v>227</v>
      </c>
      <c r="F58" s="57" t="s">
        <v>86</v>
      </c>
      <c r="G58" s="57" t="s">
        <v>86</v>
      </c>
      <c r="H58" s="56"/>
      <c r="I58" s="56">
        <v>160</v>
      </c>
      <c r="J58" s="64" t="str">
        <f t="shared" si="4"/>
        <v>常勤</v>
      </c>
      <c r="K58" s="58"/>
      <c r="L58" s="93"/>
      <c r="M58" s="60"/>
      <c r="N58" s="60"/>
      <c r="O58" s="114"/>
      <c r="P58" s="67" t="s">
        <v>156</v>
      </c>
      <c r="Q58" s="114"/>
      <c r="R58" s="67" t="s">
        <v>157</v>
      </c>
      <c r="S58" s="60"/>
    </row>
    <row r="59" spans="1:19" ht="24.95" customHeight="1">
      <c r="A59" s="5">
        <v>18</v>
      </c>
      <c r="B59" s="68"/>
      <c r="C59" s="56" t="s">
        <v>99</v>
      </c>
      <c r="D59" s="69" t="s">
        <v>108</v>
      </c>
      <c r="E59" s="56" t="s">
        <v>227</v>
      </c>
      <c r="F59" s="57" t="s">
        <v>86</v>
      </c>
      <c r="G59" s="57" t="s">
        <v>86</v>
      </c>
      <c r="H59" s="56"/>
      <c r="I59" s="56">
        <v>160</v>
      </c>
      <c r="J59" s="64" t="str">
        <f t="shared" si="4"/>
        <v>常勤</v>
      </c>
      <c r="K59" s="58"/>
      <c r="L59" s="93"/>
      <c r="M59" s="60"/>
      <c r="N59" s="60"/>
      <c r="O59" s="114"/>
      <c r="P59" s="67" t="s">
        <v>156</v>
      </c>
      <c r="Q59" s="114"/>
      <c r="R59" s="67" t="s">
        <v>157</v>
      </c>
      <c r="S59" s="60"/>
    </row>
    <row r="60" spans="1:19" ht="24.95" customHeight="1">
      <c r="A60" s="5">
        <v>19</v>
      </c>
      <c r="B60" s="68"/>
      <c r="C60" s="56" t="s">
        <v>99</v>
      </c>
      <c r="D60" s="69" t="s">
        <v>104</v>
      </c>
      <c r="E60" s="56" t="s">
        <v>227</v>
      </c>
      <c r="F60" s="57" t="s">
        <v>86</v>
      </c>
      <c r="G60" s="57" t="s">
        <v>86</v>
      </c>
      <c r="H60" s="56"/>
      <c r="I60" s="56">
        <v>80</v>
      </c>
      <c r="J60" s="64" t="str">
        <f t="shared" si="4"/>
        <v>非常勤</v>
      </c>
      <c r="K60" s="58"/>
      <c r="L60" s="93"/>
      <c r="M60" s="60"/>
      <c r="N60" s="60"/>
      <c r="O60" s="114"/>
      <c r="P60" s="67" t="s">
        <v>156</v>
      </c>
      <c r="Q60" s="114"/>
      <c r="R60" s="67" t="s">
        <v>157</v>
      </c>
      <c r="S60" s="60"/>
    </row>
    <row r="61" spans="1:19" ht="24.95" customHeight="1">
      <c r="A61" s="5">
        <v>20</v>
      </c>
      <c r="B61" s="68"/>
      <c r="C61" s="56" t="s">
        <v>99</v>
      </c>
      <c r="D61" s="69" t="s">
        <v>104</v>
      </c>
      <c r="E61" s="56" t="s">
        <v>227</v>
      </c>
      <c r="F61" s="57" t="s">
        <v>86</v>
      </c>
      <c r="G61" s="57" t="s">
        <v>86</v>
      </c>
      <c r="H61" s="56"/>
      <c r="I61" s="56">
        <v>80</v>
      </c>
      <c r="J61" s="64" t="str">
        <f t="shared" si="4"/>
        <v>非常勤</v>
      </c>
      <c r="K61" s="58"/>
      <c r="L61" s="93"/>
      <c r="M61" s="60"/>
      <c r="N61" s="60"/>
      <c r="O61" s="114"/>
      <c r="P61" s="67" t="s">
        <v>156</v>
      </c>
      <c r="Q61" s="114"/>
      <c r="R61" s="67" t="s">
        <v>157</v>
      </c>
      <c r="S61" s="60"/>
    </row>
    <row r="62" spans="1:19" ht="24.95" customHeight="1">
      <c r="A62" s="5">
        <v>21</v>
      </c>
      <c r="B62" s="68"/>
      <c r="C62" s="56" t="s">
        <v>99</v>
      </c>
      <c r="D62" s="69" t="s">
        <v>104</v>
      </c>
      <c r="E62" s="56" t="s">
        <v>227</v>
      </c>
      <c r="F62" s="57" t="s">
        <v>86</v>
      </c>
      <c r="G62" s="57" t="s">
        <v>86</v>
      </c>
      <c r="H62" s="56"/>
      <c r="I62" s="56">
        <v>80</v>
      </c>
      <c r="J62" s="64" t="str">
        <f t="shared" si="4"/>
        <v>非常勤</v>
      </c>
      <c r="K62" s="58"/>
      <c r="L62" s="93"/>
      <c r="M62" s="60"/>
      <c r="N62" s="60"/>
      <c r="O62" s="114"/>
      <c r="P62" s="67" t="s">
        <v>156</v>
      </c>
      <c r="Q62" s="114"/>
      <c r="R62" s="67" t="s">
        <v>157</v>
      </c>
      <c r="S62" s="60"/>
    </row>
    <row r="63" spans="1:19" ht="24.95" customHeight="1">
      <c r="A63" s="5">
        <v>22</v>
      </c>
      <c r="B63" s="68"/>
      <c r="C63" s="56" t="s">
        <v>97</v>
      </c>
      <c r="D63" s="69" t="s">
        <v>110</v>
      </c>
      <c r="E63" s="56" t="s">
        <v>227</v>
      </c>
      <c r="F63" s="57" t="s">
        <v>86</v>
      </c>
      <c r="G63" s="57" t="s">
        <v>86</v>
      </c>
      <c r="H63" s="56"/>
      <c r="I63" s="56">
        <v>60</v>
      </c>
      <c r="J63" s="64" t="str">
        <f t="shared" si="4"/>
        <v>非常勤</v>
      </c>
      <c r="K63" s="58"/>
      <c r="L63" s="93"/>
      <c r="M63" s="60"/>
      <c r="N63" s="60"/>
      <c r="O63" s="114"/>
      <c r="P63" s="67" t="s">
        <v>156</v>
      </c>
      <c r="Q63" s="114"/>
      <c r="R63" s="67" t="s">
        <v>157</v>
      </c>
      <c r="S63" s="60"/>
    </row>
    <row r="64" spans="1:19" ht="24.95" customHeight="1">
      <c r="A64" s="5">
        <v>23</v>
      </c>
      <c r="B64" s="68"/>
      <c r="C64" s="56"/>
      <c r="D64" s="56"/>
      <c r="E64" s="56"/>
      <c r="F64" s="57"/>
      <c r="G64" s="57"/>
      <c r="H64" s="56"/>
      <c r="I64" s="56"/>
      <c r="J64" s="64" t="str">
        <f t="shared" si="3"/>
        <v/>
      </c>
      <c r="K64" s="58"/>
      <c r="L64" s="93"/>
      <c r="M64" s="60"/>
      <c r="N64" s="60"/>
      <c r="O64" s="114"/>
      <c r="P64" s="67" t="s">
        <v>156</v>
      </c>
      <c r="Q64" s="114"/>
      <c r="R64" s="67" t="s">
        <v>157</v>
      </c>
      <c r="S64" s="60"/>
    </row>
    <row r="65" spans="1:19" ht="24.95" customHeight="1">
      <c r="A65" s="5">
        <v>24</v>
      </c>
      <c r="B65" s="68"/>
      <c r="C65" s="56"/>
      <c r="D65" s="56"/>
      <c r="E65" s="56"/>
      <c r="F65" s="57"/>
      <c r="G65" s="57"/>
      <c r="H65" s="56"/>
      <c r="I65" s="56"/>
      <c r="J65" s="64" t="str">
        <f t="shared" si="3"/>
        <v/>
      </c>
      <c r="K65" s="58"/>
      <c r="L65" s="93"/>
      <c r="M65" s="60"/>
      <c r="N65" s="60"/>
      <c r="O65" s="114"/>
      <c r="P65" s="67" t="s">
        <v>156</v>
      </c>
      <c r="Q65" s="114"/>
      <c r="R65" s="67" t="s">
        <v>157</v>
      </c>
      <c r="S65" s="60"/>
    </row>
    <row r="66" spans="1:19" ht="24.95" customHeight="1">
      <c r="A66" s="5">
        <v>25</v>
      </c>
      <c r="B66" s="68"/>
      <c r="C66" s="56"/>
      <c r="D66" s="56"/>
      <c r="E66" s="56"/>
      <c r="F66" s="57"/>
      <c r="G66" s="57"/>
      <c r="H66" s="56"/>
      <c r="I66" s="56"/>
      <c r="J66" s="64" t="str">
        <f t="shared" si="3"/>
        <v/>
      </c>
      <c r="K66" s="58"/>
      <c r="L66" s="93"/>
      <c r="M66" s="60"/>
      <c r="N66" s="60"/>
      <c r="O66" s="114"/>
      <c r="P66" s="67" t="s">
        <v>156</v>
      </c>
      <c r="Q66" s="114"/>
      <c r="R66" s="67" t="s">
        <v>157</v>
      </c>
      <c r="S66" s="60"/>
    </row>
    <row r="67" spans="1:19" ht="24.95" customHeight="1">
      <c r="A67" s="5">
        <v>26</v>
      </c>
      <c r="B67" s="68"/>
      <c r="C67" s="56"/>
      <c r="D67" s="56"/>
      <c r="E67" s="56"/>
      <c r="F67" s="57"/>
      <c r="G67" s="57"/>
      <c r="H67" s="56"/>
      <c r="I67" s="56"/>
      <c r="J67" s="64" t="str">
        <f t="shared" si="3"/>
        <v/>
      </c>
      <c r="K67" s="58"/>
      <c r="L67" s="93"/>
      <c r="M67" s="60"/>
      <c r="N67" s="60"/>
      <c r="O67" s="114"/>
      <c r="P67" s="67" t="s">
        <v>156</v>
      </c>
      <c r="Q67" s="114"/>
      <c r="R67" s="67" t="s">
        <v>157</v>
      </c>
      <c r="S67" s="60"/>
    </row>
    <row r="68" spans="1:19" ht="24.95" customHeight="1">
      <c r="A68" s="5">
        <v>27</v>
      </c>
      <c r="B68" s="68"/>
      <c r="C68" s="56"/>
      <c r="D68" s="56"/>
      <c r="E68" s="56"/>
      <c r="F68" s="57"/>
      <c r="G68" s="57"/>
      <c r="H68" s="56"/>
      <c r="I68" s="56"/>
      <c r="J68" s="64" t="str">
        <f t="shared" si="3"/>
        <v/>
      </c>
      <c r="K68" s="58"/>
      <c r="L68" s="93"/>
      <c r="M68" s="60"/>
      <c r="N68" s="60"/>
      <c r="O68" s="114"/>
      <c r="P68" s="67" t="s">
        <v>156</v>
      </c>
      <c r="Q68" s="114"/>
      <c r="R68" s="67" t="s">
        <v>157</v>
      </c>
      <c r="S68" s="60"/>
    </row>
    <row r="69" spans="1:19" ht="24.95" customHeight="1">
      <c r="A69" s="5">
        <v>28</v>
      </c>
      <c r="B69" s="68"/>
      <c r="C69" s="56"/>
      <c r="D69" s="56"/>
      <c r="E69" s="56"/>
      <c r="F69" s="57"/>
      <c r="G69" s="57"/>
      <c r="H69" s="56"/>
      <c r="I69" s="56"/>
      <c r="J69" s="64" t="str">
        <f t="shared" si="3"/>
        <v/>
      </c>
      <c r="K69" s="58"/>
      <c r="L69" s="93"/>
      <c r="M69" s="60"/>
      <c r="N69" s="60"/>
      <c r="O69" s="114"/>
      <c r="P69" s="67" t="s">
        <v>156</v>
      </c>
      <c r="Q69" s="114"/>
      <c r="R69" s="67" t="s">
        <v>157</v>
      </c>
      <c r="S69" s="60"/>
    </row>
    <row r="70" spans="1:19" ht="24.95" customHeight="1">
      <c r="A70" s="5">
        <v>29</v>
      </c>
      <c r="B70" s="68"/>
      <c r="C70" s="56"/>
      <c r="D70" s="56"/>
      <c r="E70" s="56"/>
      <c r="F70" s="57"/>
      <c r="G70" s="57"/>
      <c r="H70" s="56"/>
      <c r="I70" s="56"/>
      <c r="J70" s="64" t="str">
        <f t="shared" si="3"/>
        <v/>
      </c>
      <c r="K70" s="58"/>
      <c r="L70" s="93"/>
      <c r="M70" s="60"/>
      <c r="N70" s="60"/>
      <c r="O70" s="114"/>
      <c r="P70" s="67" t="s">
        <v>156</v>
      </c>
      <c r="Q70" s="114"/>
      <c r="R70" s="67" t="s">
        <v>157</v>
      </c>
      <c r="S70" s="60"/>
    </row>
    <row r="71" spans="1:19" ht="24.95" customHeight="1">
      <c r="A71" s="5">
        <v>30</v>
      </c>
      <c r="B71" s="68"/>
      <c r="C71" s="56"/>
      <c r="D71" s="56"/>
      <c r="E71" s="56"/>
      <c r="F71" s="57"/>
      <c r="G71" s="57"/>
      <c r="H71" s="56"/>
      <c r="I71" s="56"/>
      <c r="J71" s="64" t="str">
        <f t="shared" si="3"/>
        <v/>
      </c>
      <c r="K71" s="58"/>
      <c r="L71" s="93"/>
      <c r="M71" s="60"/>
      <c r="N71" s="60"/>
      <c r="O71" s="114"/>
      <c r="P71" s="67" t="s">
        <v>156</v>
      </c>
      <c r="Q71" s="114"/>
      <c r="R71" s="67" t="s">
        <v>157</v>
      </c>
      <c r="S71" s="60"/>
    </row>
    <row r="72" spans="1:19" ht="24.95" customHeight="1">
      <c r="A72" s="5">
        <v>31</v>
      </c>
      <c r="B72" s="68"/>
      <c r="C72" s="56"/>
      <c r="D72" s="56"/>
      <c r="E72" s="56"/>
      <c r="F72" s="57"/>
      <c r="G72" s="57"/>
      <c r="H72" s="56"/>
      <c r="I72" s="56"/>
      <c r="J72" s="64" t="str">
        <f t="shared" si="3"/>
        <v/>
      </c>
      <c r="K72" s="58"/>
      <c r="L72" s="93"/>
      <c r="M72" s="60"/>
      <c r="N72" s="60"/>
      <c r="O72" s="114"/>
      <c r="P72" s="67" t="s">
        <v>156</v>
      </c>
      <c r="Q72" s="114"/>
      <c r="R72" s="67" t="s">
        <v>157</v>
      </c>
      <c r="S72" s="60"/>
    </row>
    <row r="73" spans="1:19" ht="24.95" customHeight="1">
      <c r="A73" s="5">
        <v>32</v>
      </c>
      <c r="B73" s="68"/>
      <c r="C73" s="56"/>
      <c r="D73" s="56"/>
      <c r="E73" s="56"/>
      <c r="F73" s="57"/>
      <c r="G73" s="57"/>
      <c r="H73" s="56"/>
      <c r="I73" s="56"/>
      <c r="J73" s="64" t="str">
        <f t="shared" si="3"/>
        <v/>
      </c>
      <c r="K73" s="58"/>
      <c r="L73" s="93"/>
      <c r="M73" s="60"/>
      <c r="N73" s="60"/>
      <c r="O73" s="114"/>
      <c r="P73" s="67" t="s">
        <v>156</v>
      </c>
      <c r="Q73" s="114"/>
      <c r="R73" s="67" t="s">
        <v>157</v>
      </c>
      <c r="S73" s="60"/>
    </row>
    <row r="74" spans="1:19" ht="24.95" customHeight="1">
      <c r="A74" s="5">
        <v>33</v>
      </c>
      <c r="B74" s="68"/>
      <c r="C74" s="56"/>
      <c r="D74" s="56"/>
      <c r="E74" s="56"/>
      <c r="F74" s="57"/>
      <c r="G74" s="57"/>
      <c r="H74" s="56"/>
      <c r="I74" s="56"/>
      <c r="J74" s="64" t="str">
        <f t="shared" si="3"/>
        <v/>
      </c>
      <c r="K74" s="58"/>
      <c r="L74" s="93"/>
      <c r="M74" s="60"/>
      <c r="N74" s="60"/>
      <c r="O74" s="114"/>
      <c r="P74" s="67" t="s">
        <v>156</v>
      </c>
      <c r="Q74" s="114"/>
      <c r="R74" s="67" t="s">
        <v>157</v>
      </c>
      <c r="S74" s="60"/>
    </row>
    <row r="75" spans="1:19" ht="24.95" customHeight="1">
      <c r="A75" s="5">
        <v>34</v>
      </c>
      <c r="B75" s="68"/>
      <c r="C75" s="56"/>
      <c r="D75" s="56"/>
      <c r="E75" s="56"/>
      <c r="F75" s="57"/>
      <c r="G75" s="57"/>
      <c r="H75" s="56"/>
      <c r="I75" s="56"/>
      <c r="J75" s="64" t="str">
        <f t="shared" si="3"/>
        <v/>
      </c>
      <c r="K75" s="58"/>
      <c r="L75" s="93"/>
      <c r="M75" s="60"/>
      <c r="N75" s="60"/>
      <c r="O75" s="114"/>
      <c r="P75" s="67" t="s">
        <v>156</v>
      </c>
      <c r="Q75" s="114"/>
      <c r="R75" s="67" t="s">
        <v>157</v>
      </c>
      <c r="S75" s="60"/>
    </row>
    <row r="76" spans="1:19" ht="24.95" customHeight="1">
      <c r="A76" s="5">
        <v>35</v>
      </c>
      <c r="B76" s="68"/>
      <c r="C76" s="56"/>
      <c r="D76" s="56"/>
      <c r="E76" s="56"/>
      <c r="F76" s="57"/>
      <c r="G76" s="57"/>
      <c r="H76" s="56"/>
      <c r="I76" s="56"/>
      <c r="J76" s="64" t="str">
        <f t="shared" si="3"/>
        <v/>
      </c>
      <c r="K76" s="58"/>
      <c r="L76" s="93"/>
      <c r="M76" s="60"/>
      <c r="N76" s="60"/>
      <c r="O76" s="114"/>
      <c r="P76" s="67" t="s">
        <v>156</v>
      </c>
      <c r="Q76" s="114"/>
      <c r="R76" s="67" t="s">
        <v>157</v>
      </c>
      <c r="S76" s="60"/>
    </row>
    <row r="77" spans="1:19" ht="24.95" customHeight="1">
      <c r="A77" s="5">
        <v>36</v>
      </c>
      <c r="B77" s="68"/>
      <c r="C77" s="56"/>
      <c r="D77" s="56"/>
      <c r="E77" s="56"/>
      <c r="F77" s="57"/>
      <c r="G77" s="57"/>
      <c r="H77" s="56"/>
      <c r="I77" s="56"/>
      <c r="J77" s="64" t="str">
        <f t="shared" si="3"/>
        <v/>
      </c>
      <c r="K77" s="58"/>
      <c r="L77" s="93"/>
      <c r="M77" s="60"/>
      <c r="N77" s="60"/>
      <c r="O77" s="114"/>
      <c r="P77" s="67" t="s">
        <v>156</v>
      </c>
      <c r="Q77" s="114"/>
      <c r="R77" s="67" t="s">
        <v>157</v>
      </c>
      <c r="S77" s="60"/>
    </row>
    <row r="78" spans="1:19" ht="24.95" customHeight="1">
      <c r="A78" s="5">
        <v>37</v>
      </c>
      <c r="B78" s="68"/>
      <c r="C78" s="56"/>
      <c r="D78" s="56"/>
      <c r="E78" s="56"/>
      <c r="F78" s="57"/>
      <c r="G78" s="57"/>
      <c r="H78" s="56"/>
      <c r="I78" s="56"/>
      <c r="J78" s="64" t="str">
        <f t="shared" si="3"/>
        <v/>
      </c>
      <c r="K78" s="58"/>
      <c r="L78" s="93"/>
      <c r="M78" s="60"/>
      <c r="N78" s="60"/>
      <c r="O78" s="114"/>
      <c r="P78" s="67" t="s">
        <v>156</v>
      </c>
      <c r="Q78" s="114"/>
      <c r="R78" s="67" t="s">
        <v>157</v>
      </c>
      <c r="S78" s="60"/>
    </row>
    <row r="79" spans="1:19" ht="24.95" customHeight="1">
      <c r="A79" s="5">
        <v>38</v>
      </c>
      <c r="B79" s="68"/>
      <c r="C79" s="56"/>
      <c r="D79" s="56"/>
      <c r="E79" s="56"/>
      <c r="F79" s="57"/>
      <c r="G79" s="57"/>
      <c r="H79" s="56"/>
      <c r="I79" s="56"/>
      <c r="J79" s="64" t="str">
        <f t="shared" si="3"/>
        <v/>
      </c>
      <c r="K79" s="58"/>
      <c r="L79" s="93"/>
      <c r="M79" s="60"/>
      <c r="N79" s="60"/>
      <c r="O79" s="114"/>
      <c r="P79" s="67" t="s">
        <v>156</v>
      </c>
      <c r="Q79" s="114"/>
      <c r="R79" s="67" t="s">
        <v>157</v>
      </c>
      <c r="S79" s="60"/>
    </row>
    <row r="80" spans="1:19" ht="24.95" customHeight="1">
      <c r="A80" s="5">
        <v>39</v>
      </c>
      <c r="B80" s="68"/>
      <c r="C80" s="56"/>
      <c r="D80" s="56"/>
      <c r="E80" s="56"/>
      <c r="F80" s="57"/>
      <c r="G80" s="57"/>
      <c r="H80" s="56"/>
      <c r="I80" s="56"/>
      <c r="J80" s="64" t="str">
        <f t="shared" si="3"/>
        <v/>
      </c>
      <c r="K80" s="58"/>
      <c r="L80" s="93"/>
      <c r="M80" s="60"/>
      <c r="N80" s="60"/>
      <c r="O80" s="114"/>
      <c r="P80" s="67" t="s">
        <v>156</v>
      </c>
      <c r="Q80" s="114"/>
      <c r="R80" s="67" t="s">
        <v>157</v>
      </c>
      <c r="S80" s="60"/>
    </row>
    <row r="81" spans="1:19" ht="24.95" customHeight="1">
      <c r="A81" s="5">
        <v>40</v>
      </c>
      <c r="B81" s="68"/>
      <c r="C81" s="56"/>
      <c r="D81" s="56"/>
      <c r="E81" s="56"/>
      <c r="F81" s="57"/>
      <c r="G81" s="57"/>
      <c r="H81" s="56"/>
      <c r="I81" s="56"/>
      <c r="J81" s="64" t="str">
        <f t="shared" si="3"/>
        <v/>
      </c>
      <c r="K81" s="58"/>
      <c r="L81" s="93"/>
      <c r="M81" s="60"/>
      <c r="N81" s="60"/>
      <c r="O81" s="114"/>
      <c r="P81" s="67" t="s">
        <v>156</v>
      </c>
      <c r="Q81" s="114"/>
      <c r="R81" s="67" t="s">
        <v>157</v>
      </c>
      <c r="S81" s="60"/>
    </row>
    <row r="82" spans="1:19" ht="24.95" customHeight="1">
      <c r="A82" s="5">
        <v>41</v>
      </c>
      <c r="B82" s="68"/>
      <c r="C82" s="56"/>
      <c r="D82" s="56"/>
      <c r="E82" s="56"/>
      <c r="F82" s="57"/>
      <c r="G82" s="57"/>
      <c r="H82" s="56"/>
      <c r="I82" s="56"/>
      <c r="J82" s="64" t="str">
        <f t="shared" si="3"/>
        <v/>
      </c>
      <c r="K82" s="58"/>
      <c r="L82" s="93"/>
      <c r="M82" s="60"/>
      <c r="N82" s="60"/>
      <c r="O82" s="114"/>
      <c r="P82" s="67" t="s">
        <v>156</v>
      </c>
      <c r="Q82" s="114"/>
      <c r="R82" s="67" t="s">
        <v>157</v>
      </c>
      <c r="S82" s="60"/>
    </row>
    <row r="83" spans="1:19" ht="24.95" customHeight="1">
      <c r="A83" s="5">
        <v>42</v>
      </c>
      <c r="B83" s="68"/>
      <c r="C83" s="56"/>
      <c r="D83" s="56"/>
      <c r="E83" s="56"/>
      <c r="F83" s="57"/>
      <c r="G83" s="57"/>
      <c r="H83" s="56"/>
      <c r="I83" s="56"/>
      <c r="J83" s="64" t="str">
        <f t="shared" si="3"/>
        <v/>
      </c>
      <c r="K83" s="58"/>
      <c r="L83" s="93"/>
      <c r="M83" s="60"/>
      <c r="N83" s="60"/>
      <c r="O83" s="114"/>
      <c r="P83" s="67" t="s">
        <v>156</v>
      </c>
      <c r="Q83" s="114"/>
      <c r="R83" s="67" t="s">
        <v>157</v>
      </c>
      <c r="S83" s="60"/>
    </row>
    <row r="84" spans="1:19" ht="24.95" customHeight="1">
      <c r="A84" s="5">
        <v>43</v>
      </c>
      <c r="B84" s="68"/>
      <c r="C84" s="56"/>
      <c r="D84" s="56"/>
      <c r="E84" s="56"/>
      <c r="F84" s="57"/>
      <c r="G84" s="57"/>
      <c r="H84" s="56"/>
      <c r="I84" s="56"/>
      <c r="J84" s="64" t="str">
        <f t="shared" si="3"/>
        <v/>
      </c>
      <c r="K84" s="58"/>
      <c r="L84" s="93"/>
      <c r="M84" s="60"/>
      <c r="N84" s="60"/>
      <c r="O84" s="114"/>
      <c r="P84" s="67" t="s">
        <v>156</v>
      </c>
      <c r="Q84" s="114"/>
      <c r="R84" s="67" t="s">
        <v>157</v>
      </c>
      <c r="S84" s="60"/>
    </row>
    <row r="85" spans="1:19" ht="24.95" customHeight="1">
      <c r="A85" s="5">
        <v>44</v>
      </c>
      <c r="B85" s="68"/>
      <c r="C85" s="56"/>
      <c r="D85" s="56"/>
      <c r="E85" s="56"/>
      <c r="F85" s="57"/>
      <c r="G85" s="57"/>
      <c r="H85" s="56"/>
      <c r="I85" s="56"/>
      <c r="J85" s="64" t="str">
        <f t="shared" si="3"/>
        <v/>
      </c>
      <c r="K85" s="58"/>
      <c r="L85" s="93"/>
      <c r="M85" s="60"/>
      <c r="N85" s="60"/>
      <c r="O85" s="114"/>
      <c r="P85" s="67" t="s">
        <v>156</v>
      </c>
      <c r="Q85" s="114"/>
      <c r="R85" s="67" t="s">
        <v>157</v>
      </c>
      <c r="S85" s="60"/>
    </row>
    <row r="86" spans="1:19" ht="24.95" customHeight="1">
      <c r="A86" s="5">
        <v>45</v>
      </c>
      <c r="B86" s="68"/>
      <c r="C86" s="56"/>
      <c r="D86" s="56"/>
      <c r="E86" s="56"/>
      <c r="F86" s="57"/>
      <c r="G86" s="57"/>
      <c r="H86" s="56"/>
      <c r="I86" s="56"/>
      <c r="J86" s="64" t="str">
        <f t="shared" si="3"/>
        <v/>
      </c>
      <c r="K86" s="58"/>
      <c r="L86" s="93"/>
      <c r="M86" s="60"/>
      <c r="N86" s="60"/>
      <c r="O86" s="114"/>
      <c r="P86" s="67" t="s">
        <v>156</v>
      </c>
      <c r="Q86" s="114"/>
      <c r="R86" s="67" t="s">
        <v>157</v>
      </c>
      <c r="S86" s="60"/>
    </row>
    <row r="87" spans="1:19" ht="24.95" customHeight="1">
      <c r="A87" s="5">
        <v>46</v>
      </c>
      <c r="B87" s="68"/>
      <c r="C87" s="56"/>
      <c r="D87" s="56"/>
      <c r="E87" s="56"/>
      <c r="F87" s="57"/>
      <c r="G87" s="57"/>
      <c r="H87" s="56"/>
      <c r="I87" s="56"/>
      <c r="J87" s="64" t="str">
        <f t="shared" si="3"/>
        <v/>
      </c>
      <c r="K87" s="58"/>
      <c r="L87" s="93"/>
      <c r="M87" s="60"/>
      <c r="N87" s="60"/>
      <c r="O87" s="114"/>
      <c r="P87" s="67" t="s">
        <v>156</v>
      </c>
      <c r="Q87" s="114"/>
      <c r="R87" s="67" t="s">
        <v>157</v>
      </c>
      <c r="S87" s="60"/>
    </row>
    <row r="88" spans="1:19" ht="24.95" customHeight="1">
      <c r="A88" s="5">
        <v>47</v>
      </c>
      <c r="B88" s="68"/>
      <c r="C88" s="56"/>
      <c r="D88" s="56"/>
      <c r="E88" s="56"/>
      <c r="F88" s="57"/>
      <c r="G88" s="57"/>
      <c r="H88" s="56"/>
      <c r="I88" s="56"/>
      <c r="J88" s="64" t="str">
        <f t="shared" si="3"/>
        <v/>
      </c>
      <c r="K88" s="58"/>
      <c r="L88" s="93"/>
      <c r="M88" s="60"/>
      <c r="N88" s="60"/>
      <c r="O88" s="114"/>
      <c r="P88" s="67" t="s">
        <v>156</v>
      </c>
      <c r="Q88" s="114"/>
      <c r="R88" s="67" t="s">
        <v>157</v>
      </c>
      <c r="S88" s="60"/>
    </row>
    <row r="89" spans="1:19" ht="24.95" customHeight="1">
      <c r="A89" s="5">
        <v>48</v>
      </c>
      <c r="B89" s="68"/>
      <c r="C89" s="56"/>
      <c r="D89" s="56"/>
      <c r="E89" s="56"/>
      <c r="F89" s="57"/>
      <c r="G89" s="57"/>
      <c r="H89" s="56"/>
      <c r="I89" s="56"/>
      <c r="J89" s="64" t="str">
        <f t="shared" si="3"/>
        <v/>
      </c>
      <c r="K89" s="58"/>
      <c r="L89" s="93"/>
      <c r="M89" s="60"/>
      <c r="N89" s="60"/>
      <c r="O89" s="114"/>
      <c r="P89" s="67" t="s">
        <v>156</v>
      </c>
      <c r="Q89" s="114"/>
      <c r="R89" s="67" t="s">
        <v>157</v>
      </c>
      <c r="S89" s="60"/>
    </row>
    <row r="90" spans="1:19" ht="24.95" customHeight="1">
      <c r="A90" s="5">
        <v>49</v>
      </c>
      <c r="B90" s="68"/>
      <c r="C90" s="56"/>
      <c r="D90" s="56"/>
      <c r="E90" s="56"/>
      <c r="F90" s="57"/>
      <c r="G90" s="57"/>
      <c r="H90" s="56"/>
      <c r="I90" s="56"/>
      <c r="J90" s="64" t="str">
        <f t="shared" si="3"/>
        <v/>
      </c>
      <c r="K90" s="58"/>
      <c r="L90" s="93"/>
      <c r="M90" s="60"/>
      <c r="N90" s="60"/>
      <c r="O90" s="114"/>
      <c r="P90" s="67" t="s">
        <v>156</v>
      </c>
      <c r="Q90" s="114"/>
      <c r="R90" s="67" t="s">
        <v>157</v>
      </c>
      <c r="S90" s="60"/>
    </row>
    <row r="91" spans="1:19" ht="24.95" customHeight="1">
      <c r="A91" s="5">
        <v>50</v>
      </c>
      <c r="B91" s="68"/>
      <c r="C91" s="56"/>
      <c r="D91" s="56"/>
      <c r="E91" s="56"/>
      <c r="F91" s="57"/>
      <c r="G91" s="57"/>
      <c r="H91" s="56"/>
      <c r="I91" s="56"/>
      <c r="J91" s="64" t="str">
        <f t="shared" si="3"/>
        <v/>
      </c>
      <c r="K91" s="58"/>
      <c r="L91" s="93"/>
      <c r="M91" s="60"/>
      <c r="N91" s="60"/>
      <c r="O91" s="114"/>
      <c r="P91" s="67" t="s">
        <v>156</v>
      </c>
      <c r="Q91" s="114"/>
      <c r="R91" s="67" t="s">
        <v>157</v>
      </c>
      <c r="S91" s="60"/>
    </row>
  </sheetData>
  <mergeCells count="30">
    <mergeCell ref="A4:D4"/>
    <mergeCell ref="A1:L1"/>
    <mergeCell ref="I4:L4"/>
    <mergeCell ref="F14:H14"/>
    <mergeCell ref="I14:I15"/>
    <mergeCell ref="L14:L15"/>
    <mergeCell ref="E14:E15"/>
    <mergeCell ref="C14:C15"/>
    <mergeCell ref="A14:A15"/>
    <mergeCell ref="J14:J15"/>
    <mergeCell ref="K14:K15"/>
    <mergeCell ref="D6:E6"/>
    <mergeCell ref="B9:C11"/>
    <mergeCell ref="H11:L11"/>
    <mergeCell ref="D7:E7"/>
    <mergeCell ref="F6:I6"/>
    <mergeCell ref="F7:I7"/>
    <mergeCell ref="A41:L41"/>
    <mergeCell ref="M41:S41"/>
    <mergeCell ref="M14:N14"/>
    <mergeCell ref="S14:S15"/>
    <mergeCell ref="D14:D15"/>
    <mergeCell ref="B14:B15"/>
    <mergeCell ref="O14:R14"/>
    <mergeCell ref="O15:P15"/>
    <mergeCell ref="Q15:R15"/>
    <mergeCell ref="A33:A37"/>
    <mergeCell ref="A16:A31"/>
    <mergeCell ref="B33:B37"/>
    <mergeCell ref="B12:D12"/>
  </mergeCells>
  <phoneticPr fontId="1"/>
  <conditionalFormatting sqref="E9:E12">
    <cfRule type="containsBlanks" dxfId="0" priority="1">
      <formula>LEN(TRIM(E9))=0</formula>
    </cfRule>
  </conditionalFormatting>
  <dataValidations count="5">
    <dataValidation type="list" allowBlank="1" showInputMessage="1" showErrorMessage="1" sqref="F42:G91 F39:G39 F16:G31 F33:G37">
      <formula1>"〇"</formula1>
    </dataValidation>
    <dataValidation type="list" allowBlank="1" showInputMessage="1" showErrorMessage="1" sqref="J39 J33:J37 J42:J91 J16:J31">
      <formula1>"常勤,非常勤,常勤補助,非常勤補助"</formula1>
    </dataValidation>
    <dataValidation type="list" allowBlank="1" showInputMessage="1" showErrorMessage="1" sqref="C22">
      <formula1>"事務職員,園長兼務"</formula1>
    </dataValidation>
    <dataValidation type="list" allowBlank="1" showInputMessage="1" showErrorMessage="1" sqref="K16:K31 K33:K37 K39 K42:K91">
      <formula1>"○,―"</formula1>
    </dataValidation>
    <dataValidation type="custom" allowBlank="1" showInputMessage="1" showErrorMessage="1" sqref="G11:G12">
      <formula1>$E$11=""</formula1>
    </dataValidation>
  </dataValidations>
  <pageMargins left="0.51181102362204722" right="0.31496062992125984" top="0.55118110236220474" bottom="0.55118110236220474" header="0.31496062992125984" footer="0.31496062992125984"/>
  <pageSetup paperSize="9" scale="92" fitToHeight="0" orientation="portrait" r:id="rId1"/>
  <rowBreaks count="1" manualBreakCount="1">
    <brk id="39"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
  <sheetViews>
    <sheetView view="pageBreakPreview" topLeftCell="A10" zoomScale="130" zoomScaleNormal="100" zoomScaleSheetLayoutView="130" workbookViewId="0">
      <selection activeCell="C14" sqref="C14:D1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210" t="s">
        <v>189</v>
      </c>
      <c r="B1" s="210"/>
      <c r="C1" s="210"/>
      <c r="D1" s="210"/>
      <c r="E1" s="210"/>
      <c r="F1" s="210"/>
      <c r="G1" s="210"/>
      <c r="H1" s="210"/>
      <c r="I1" s="210"/>
      <c r="J1" s="10"/>
      <c r="K1" s="10"/>
      <c r="L1" s="10" t="s">
        <v>221</v>
      </c>
    </row>
    <row r="2" spans="1:18" ht="19.5" thickBot="1">
      <c r="A2" t="s">
        <v>265</v>
      </c>
      <c r="I2" s="158">
        <f>改修履歴!A1</f>
        <v>0.99</v>
      </c>
      <c r="K2" s="144">
        <f>IF(L2="可",1,0)</f>
        <v>1</v>
      </c>
      <c r="L2" s="141" t="str">
        <f>IF(N2=1,"可","不可")</f>
        <v>可</v>
      </c>
      <c r="M2" s="29" t="s">
        <v>212</v>
      </c>
      <c r="N2">
        <f t="shared" ref="N2:N8" si="0">SUM(O2:Q2)</f>
        <v>1</v>
      </c>
      <c r="O2">
        <f>IF(COUNTA(③職員名簿!D17:E17)=2,1,0)</f>
        <v>1</v>
      </c>
    </row>
    <row r="3" spans="1:18" ht="19.5" thickBot="1">
      <c r="A3" s="238">
        <f>①基本情報!A4</f>
        <v>44652</v>
      </c>
      <c r="B3" s="272"/>
      <c r="C3" s="272"/>
      <c r="D3" s="239"/>
      <c r="K3" s="144">
        <f t="shared" ref="K3:K11" si="1">IF(L3="可",1,0)</f>
        <v>0</v>
      </c>
      <c r="L3" s="141" t="str">
        <f>IF(N3=3,"可","不可")</f>
        <v>不可</v>
      </c>
      <c r="M3" s="29" t="s">
        <v>213</v>
      </c>
      <c r="N3">
        <f t="shared" si="0"/>
        <v>2</v>
      </c>
      <c r="O3">
        <f>IF(SUM(①基本情報!H17:H18)&gt;300,0,IF(SUM(①基本情報!H17:H18)&lt;36,0,1))</f>
        <v>0</v>
      </c>
      <c r="P3">
        <f>IF(⑤集計表!O18&lt;0,0,1)</f>
        <v>1</v>
      </c>
      <c r="Q3">
        <f t="shared" ref="Q3:Q8" si="2">$K$13</f>
        <v>1</v>
      </c>
    </row>
    <row r="4" spans="1:18" ht="17.25" customHeight="1">
      <c r="A4" s="7"/>
      <c r="B4" s="8"/>
      <c r="C4" s="8"/>
      <c r="D4" s="8"/>
      <c r="E4" s="8"/>
      <c r="F4" s="8"/>
      <c r="G4" s="8"/>
      <c r="H4" s="8"/>
      <c r="I4" s="10"/>
      <c r="K4" s="144">
        <f t="shared" si="1"/>
        <v>1</v>
      </c>
      <c r="L4" s="141" t="str">
        <f>IF(N4=2,"可","不可")</f>
        <v>可</v>
      </c>
      <c r="M4" s="29" t="s">
        <v>214</v>
      </c>
      <c r="N4">
        <f t="shared" si="0"/>
        <v>2</v>
      </c>
      <c r="O4">
        <f>IF(⑤集計表!O18&lt;0,0,1)</f>
        <v>1</v>
      </c>
      <c r="Q4">
        <f t="shared" si="2"/>
        <v>1</v>
      </c>
    </row>
    <row r="5" spans="1:18" ht="19.5" thickBot="1">
      <c r="A5" s="3" t="s">
        <v>41</v>
      </c>
      <c r="F5" s="27"/>
      <c r="G5" s="27"/>
      <c r="H5" s="27"/>
      <c r="I5" s="27"/>
      <c r="K5" s="144">
        <f t="shared" si="1"/>
        <v>1</v>
      </c>
      <c r="L5" s="141" t="str">
        <f>IF(N5=2,"可","不可")</f>
        <v>可</v>
      </c>
      <c r="M5" s="29" t="s">
        <v>215</v>
      </c>
      <c r="N5">
        <f t="shared" si="0"/>
        <v>2</v>
      </c>
      <c r="O5">
        <f>IF(⑤集計表!O18&lt;0,0,1)</f>
        <v>1</v>
      </c>
      <c r="Q5">
        <f t="shared" si="2"/>
        <v>1</v>
      </c>
    </row>
    <row r="6" spans="1:18" ht="19.5" thickBot="1">
      <c r="A6" s="242" t="str">
        <f>①基本情報!A7</f>
        <v>〇〇認定こども園</v>
      </c>
      <c r="B6" s="243"/>
      <c r="C6" s="243"/>
      <c r="D6" s="243"/>
      <c r="E6" s="243"/>
      <c r="F6" s="243"/>
      <c r="G6" s="244"/>
      <c r="H6" s="73"/>
      <c r="K6" s="144">
        <f t="shared" si="1"/>
        <v>1</v>
      </c>
      <c r="L6" s="141" t="str">
        <f>IF(N6=2,"可","不可")</f>
        <v>可</v>
      </c>
      <c r="M6" s="29" t="s">
        <v>216</v>
      </c>
      <c r="N6">
        <f t="shared" si="0"/>
        <v>2</v>
      </c>
      <c r="O6">
        <f>IF(⑤集計表!O30&lt;0,0,1)</f>
        <v>1</v>
      </c>
      <c r="Q6">
        <f t="shared" si="2"/>
        <v>1</v>
      </c>
    </row>
    <row r="7" spans="1:18">
      <c r="K7" s="144">
        <f t="shared" si="1"/>
        <v>1</v>
      </c>
      <c r="L7" s="141" t="str">
        <f>IF(N7=2,"可","不可")</f>
        <v>可</v>
      </c>
      <c r="M7" s="29" t="s">
        <v>217</v>
      </c>
      <c r="N7">
        <f t="shared" si="0"/>
        <v>2</v>
      </c>
      <c r="O7">
        <f>IF(⑤集計表!O30&lt;0,0,1)</f>
        <v>1</v>
      </c>
      <c r="Q7">
        <f t="shared" si="2"/>
        <v>1</v>
      </c>
    </row>
    <row r="8" spans="1:18" ht="19.5" thickBot="1">
      <c r="A8" t="s">
        <v>71</v>
      </c>
      <c r="F8" t="s">
        <v>53</v>
      </c>
      <c r="K8" s="144">
        <f t="shared" si="1"/>
        <v>1</v>
      </c>
      <c r="L8" s="141" t="str">
        <f>IF(N8=3,"可","不可")</f>
        <v>可</v>
      </c>
      <c r="M8" s="29" t="s">
        <v>211</v>
      </c>
      <c r="N8">
        <f t="shared" si="0"/>
        <v>3</v>
      </c>
      <c r="O8">
        <f>IF(COUNTIF(G12:G13,"〇")=0,1,0)</f>
        <v>1</v>
      </c>
      <c r="P8">
        <f>IF(COUNTA(③職員名簿!E20)=1,1,0)</f>
        <v>1</v>
      </c>
      <c r="Q8">
        <f t="shared" si="2"/>
        <v>1</v>
      </c>
    </row>
    <row r="9" spans="1:18" ht="19.5" thickBot="1">
      <c r="A9" s="1">
        <v>1</v>
      </c>
      <c r="B9" s="97" t="s">
        <v>86</v>
      </c>
      <c r="C9" s="297" t="s">
        <v>44</v>
      </c>
      <c r="D9" s="289"/>
      <c r="E9" s="28"/>
      <c r="F9" s="1">
        <v>16</v>
      </c>
      <c r="G9" s="19"/>
      <c r="H9" s="289" t="s">
        <v>54</v>
      </c>
      <c r="I9" s="290"/>
      <c r="K9" s="144">
        <f t="shared" si="1"/>
        <v>0</v>
      </c>
      <c r="L9" s="141" t="str">
        <f>IF(N9=2,"可","不可")</f>
        <v>不可</v>
      </c>
      <c r="M9" s="29" t="s">
        <v>218</v>
      </c>
      <c r="N9">
        <f>SUM(O9:P9)</f>
        <v>1</v>
      </c>
      <c r="O9">
        <f>IF(①基本情報!H20&lt;90,0,1)</f>
        <v>0</v>
      </c>
      <c r="P9">
        <f>IF(COUNTA(③職員名簿!D22:E23)=4,1,0)</f>
        <v>1</v>
      </c>
    </row>
    <row r="10" spans="1:18" ht="19.5" thickBot="1">
      <c r="A10" s="1">
        <v>2</v>
      </c>
      <c r="B10" s="19"/>
      <c r="C10" s="297" t="str">
        <f>IF(K2=1,"副園長・教頭配置加算","【適用不可】副園長・教頭配置加算")</f>
        <v>副園長・教頭配置加算</v>
      </c>
      <c r="D10" s="289"/>
      <c r="E10" s="28"/>
      <c r="F10" s="1">
        <v>17</v>
      </c>
      <c r="G10" s="19"/>
      <c r="H10" s="289" t="s">
        <v>55</v>
      </c>
      <c r="I10" s="290"/>
      <c r="K10" s="144">
        <f t="shared" si="1"/>
        <v>0</v>
      </c>
      <c r="L10" s="141" t="str">
        <f>IF(N10=1,"可","不可")</f>
        <v>不可</v>
      </c>
      <c r="M10" s="29" t="s">
        <v>219</v>
      </c>
      <c r="N10">
        <f>SUM(O10:P10)</f>
        <v>0</v>
      </c>
      <c r="O10">
        <f>IF(①基本情報!L4&gt;=2,1,0)</f>
        <v>0</v>
      </c>
    </row>
    <row r="11" spans="1:18" ht="19.5" thickBot="1">
      <c r="A11" s="1">
        <v>3</v>
      </c>
      <c r="B11" s="19"/>
      <c r="C11" s="297" t="str">
        <f>IF(K3=1,"学級編制調整加配加算","【適用不可】学級編制調整加配加算")</f>
        <v>【適用不可】学級編制調整加配加算</v>
      </c>
      <c r="D11" s="289"/>
      <c r="E11" s="28"/>
      <c r="F11" s="1">
        <v>18</v>
      </c>
      <c r="G11" s="19"/>
      <c r="H11" s="126"/>
      <c r="I11" s="99" t="s">
        <v>56</v>
      </c>
      <c r="K11" s="144">
        <f t="shared" si="1"/>
        <v>0</v>
      </c>
      <c r="L11" s="141" t="str">
        <f>IF(N11=1,"可","不可")</f>
        <v>不可</v>
      </c>
      <c r="M11" s="29" t="s">
        <v>220</v>
      </c>
      <c r="N11">
        <f>SUM(O11:P11)</f>
        <v>0</v>
      </c>
      <c r="O11">
        <f>IF(①基本情報!L3&gt;=1,1,0)</f>
        <v>0</v>
      </c>
    </row>
    <row r="12" spans="1:18" ht="19.5" thickBot="1">
      <c r="A12" s="1">
        <v>4</v>
      </c>
      <c r="B12" s="19"/>
      <c r="C12" s="297" t="str">
        <f>IF(K4=1,"3歳児配置改善加算","【適用不可】3歳児配置改善加算")</f>
        <v>3歳児配置改善加算</v>
      </c>
      <c r="D12" s="289"/>
      <c r="E12" s="28"/>
      <c r="F12" s="293">
        <v>19</v>
      </c>
      <c r="G12" s="19"/>
      <c r="H12" s="289" t="s">
        <v>112</v>
      </c>
      <c r="I12" s="290"/>
      <c r="L12" s="142"/>
      <c r="M12" s="29"/>
    </row>
    <row r="13" spans="1:18" ht="19.5" thickBot="1">
      <c r="A13" s="1">
        <v>5</v>
      </c>
      <c r="B13" s="19"/>
      <c r="C13" s="297" t="str">
        <f>IF(K5=1,"満3歳児対応加配加算","【適用不可】満3歳児対応加配加算")</f>
        <v>満3歳児対応加配加算</v>
      </c>
      <c r="D13" s="289"/>
      <c r="E13" s="28"/>
      <c r="F13" s="294"/>
      <c r="G13" s="19"/>
      <c r="H13" s="289" t="s">
        <v>113</v>
      </c>
      <c r="I13" s="290"/>
      <c r="K13" s="144">
        <f>IF(L13="OK",1,0)</f>
        <v>1</v>
      </c>
      <c r="L13" s="141" t="str">
        <f>IF(⑤集計表!M33="満たしている","OK","NG")</f>
        <v>OK</v>
      </c>
      <c r="M13" s="154" t="s">
        <v>257</v>
      </c>
    </row>
    <row r="14" spans="1:18" ht="19.5" thickBot="1">
      <c r="A14" s="1">
        <v>6</v>
      </c>
      <c r="B14" s="19"/>
      <c r="C14" s="298" t="str">
        <f>IF(K6=1,"講師配置加算","【適用不可】講師配置加算")</f>
        <v>講師配置加算</v>
      </c>
      <c r="D14" s="299"/>
      <c r="E14" s="28"/>
      <c r="F14" s="1">
        <v>20</v>
      </c>
      <c r="G14" s="19"/>
      <c r="H14" s="289" t="s">
        <v>57</v>
      </c>
      <c r="I14" s="290"/>
      <c r="L14" s="142"/>
      <c r="M14" s="29"/>
    </row>
    <row r="15" spans="1:18" ht="19.5" thickBot="1">
      <c r="A15" s="1">
        <v>7</v>
      </c>
      <c r="B15" s="19"/>
      <c r="C15" s="19"/>
      <c r="D15" s="72" t="str">
        <f>IF(K7=1,"チーム保育加配加算","【適用不可】チーム保育加配加算")</f>
        <v>チーム保育加配加算</v>
      </c>
      <c r="E15" s="28"/>
      <c r="F15" s="1">
        <v>21</v>
      </c>
      <c r="G15" s="19"/>
      <c r="H15" s="289" t="s">
        <v>58</v>
      </c>
      <c r="I15" s="290"/>
      <c r="L15" t="s">
        <v>224</v>
      </c>
      <c r="O15" s="52" t="s">
        <v>119</v>
      </c>
      <c r="P15" s="52" t="s">
        <v>118</v>
      </c>
      <c r="R15" s="153" t="s">
        <v>253</v>
      </c>
    </row>
    <row r="16" spans="1:18" ht="19.5" thickBot="1">
      <c r="A16" s="1">
        <v>8</v>
      </c>
      <c r="B16" s="19"/>
      <c r="C16" s="300" t="s">
        <v>46</v>
      </c>
      <c r="D16" s="296"/>
      <c r="E16" s="28"/>
      <c r="F16" s="1">
        <v>22</v>
      </c>
      <c r="G16" s="19"/>
      <c r="H16" s="289" t="s">
        <v>59</v>
      </c>
      <c r="I16" s="290"/>
      <c r="M16" s="287" t="s">
        <v>194</v>
      </c>
      <c r="O16" s="52">
        <v>45</v>
      </c>
      <c r="P16" s="52">
        <v>1</v>
      </c>
      <c r="R16" s="150" t="s">
        <v>239</v>
      </c>
    </row>
    <row r="17" spans="1:18" ht="19.5" thickBot="1">
      <c r="A17" s="1">
        <v>9</v>
      </c>
      <c r="B17" s="19" t="s">
        <v>86</v>
      </c>
      <c r="C17" s="19">
        <v>5</v>
      </c>
      <c r="D17" s="71" t="s">
        <v>47</v>
      </c>
      <c r="E17" s="28"/>
      <c r="F17" t="s">
        <v>60</v>
      </c>
      <c r="I17" s="29"/>
      <c r="M17" s="288"/>
      <c r="O17" s="52">
        <v>46</v>
      </c>
      <c r="P17" s="52">
        <v>2</v>
      </c>
      <c r="R17" s="150" t="s">
        <v>240</v>
      </c>
    </row>
    <row r="18" spans="1:18" ht="19.5" thickBot="1">
      <c r="A18" s="1">
        <v>10</v>
      </c>
      <c r="B18" s="19"/>
      <c r="C18" s="296" t="s">
        <v>48</v>
      </c>
      <c r="D18" s="290"/>
      <c r="E18" s="28"/>
      <c r="F18" s="293">
        <v>23</v>
      </c>
      <c r="G18" s="19"/>
      <c r="H18" s="289" t="s">
        <v>114</v>
      </c>
      <c r="I18" s="290"/>
      <c r="L18" s="143" t="e">
        <f>VLOOKUP(M18,O16:P24,2,TRUE)</f>
        <v>#N/A</v>
      </c>
      <c r="M18" s="78">
        <f>SUM(①基本情報!H17:H18)</f>
        <v>0</v>
      </c>
      <c r="O18" s="52">
        <v>151</v>
      </c>
      <c r="P18" s="52">
        <v>3</v>
      </c>
      <c r="R18" s="150" t="s">
        <v>241</v>
      </c>
    </row>
    <row r="19" spans="1:18" ht="19.5" thickBot="1">
      <c r="A19" s="1">
        <v>11</v>
      </c>
      <c r="B19" s="19"/>
      <c r="C19" s="151"/>
      <c r="D19" s="71" t="s">
        <v>49</v>
      </c>
      <c r="E19" s="28"/>
      <c r="F19" s="294"/>
      <c r="G19" s="19"/>
      <c r="H19" s="289" t="s">
        <v>115</v>
      </c>
      <c r="I19" s="290"/>
      <c r="O19" s="52">
        <v>241</v>
      </c>
      <c r="P19" s="52">
        <v>3.5</v>
      </c>
      <c r="R19" s="150" t="s">
        <v>242</v>
      </c>
    </row>
    <row r="20" spans="1:18" ht="19.5" thickBot="1">
      <c r="A20" s="1">
        <v>12</v>
      </c>
      <c r="B20" s="19"/>
      <c r="C20" s="295" t="s">
        <v>50</v>
      </c>
      <c r="D20" s="290"/>
      <c r="E20" s="28"/>
      <c r="F20" t="s">
        <v>61</v>
      </c>
      <c r="I20" s="29"/>
      <c r="O20" s="52">
        <v>271</v>
      </c>
      <c r="P20" s="52">
        <v>5</v>
      </c>
      <c r="R20" s="150" t="s">
        <v>243</v>
      </c>
    </row>
    <row r="21" spans="1:18" ht="19.5" thickBot="1">
      <c r="A21" s="1">
        <v>13</v>
      </c>
      <c r="B21" s="19"/>
      <c r="C21" s="289" t="s">
        <v>51</v>
      </c>
      <c r="D21" s="290"/>
      <c r="E21" s="28"/>
      <c r="F21" s="1">
        <v>24</v>
      </c>
      <c r="G21" s="19"/>
      <c r="H21" s="48"/>
      <c r="I21" s="72" t="str">
        <f>IF(K8=1,"療育支援加算","【適用不可】療育支援加算")</f>
        <v>療育支援加算</v>
      </c>
      <c r="O21" s="52">
        <v>301</v>
      </c>
      <c r="P21" s="52">
        <v>6</v>
      </c>
      <c r="R21" s="150" t="s">
        <v>244</v>
      </c>
    </row>
    <row r="22" spans="1:18" ht="18.75" customHeight="1" thickBot="1">
      <c r="A22" s="1">
        <v>14</v>
      </c>
      <c r="B22" s="19"/>
      <c r="C22" s="289" t="s">
        <v>52</v>
      </c>
      <c r="D22" s="290"/>
      <c r="E22" s="28"/>
      <c r="F22" s="1">
        <v>25</v>
      </c>
      <c r="G22" s="19"/>
      <c r="H22" s="295" t="str">
        <f>IF(K9=1,"事務職員配置加算","【適用不可】事務職員配置加算")</f>
        <v>【適用不可】事務職員配置加算</v>
      </c>
      <c r="I22" s="290"/>
      <c r="O22" s="52">
        <v>451</v>
      </c>
      <c r="P22" s="52">
        <v>8</v>
      </c>
      <c r="R22" s="150" t="s">
        <v>245</v>
      </c>
    </row>
    <row r="23" spans="1:18" ht="19.5" thickBot="1">
      <c r="A23" s="1">
        <v>15</v>
      </c>
      <c r="B23" s="97" t="s">
        <v>86</v>
      </c>
      <c r="C23" s="289" t="s">
        <v>85</v>
      </c>
      <c r="D23" s="290"/>
      <c r="F23" s="1">
        <v>26</v>
      </c>
      <c r="G23" s="19"/>
      <c r="H23" s="289" t="s">
        <v>62</v>
      </c>
      <c r="I23" s="290"/>
      <c r="R23" s="150" t="s">
        <v>246</v>
      </c>
    </row>
    <row r="24" spans="1:18" ht="19.5" thickBot="1">
      <c r="F24" s="1">
        <v>27</v>
      </c>
      <c r="G24" s="19"/>
      <c r="H24" s="289" t="s">
        <v>63</v>
      </c>
      <c r="I24" s="290"/>
      <c r="R24" s="150" t="s">
        <v>247</v>
      </c>
    </row>
    <row r="25" spans="1:18" ht="18.75" customHeight="1" thickBot="1">
      <c r="F25" s="1">
        <v>28</v>
      </c>
      <c r="G25" s="19" t="s">
        <v>86</v>
      </c>
      <c r="H25" s="289" t="s">
        <v>64</v>
      </c>
      <c r="I25" s="290"/>
      <c r="R25" s="150" t="s">
        <v>248</v>
      </c>
    </row>
    <row r="26" spans="1:18" ht="19.5" thickBot="1">
      <c r="F26" s="1">
        <v>29</v>
      </c>
      <c r="G26" s="97" t="s">
        <v>86</v>
      </c>
      <c r="H26" s="289" t="s">
        <v>65</v>
      </c>
      <c r="I26" s="290"/>
      <c r="R26" s="150" t="s">
        <v>249</v>
      </c>
    </row>
    <row r="27" spans="1:18" ht="19.5" thickBot="1">
      <c r="F27" s="1">
        <v>30</v>
      </c>
      <c r="G27" s="19"/>
      <c r="H27" s="289" t="s">
        <v>66</v>
      </c>
      <c r="I27" s="290"/>
      <c r="R27" s="150" t="s">
        <v>250</v>
      </c>
    </row>
    <row r="28" spans="1:18" ht="19.5" thickBot="1">
      <c r="F28" s="145">
        <v>31</v>
      </c>
      <c r="G28" s="146"/>
      <c r="H28" s="291" t="s">
        <v>67</v>
      </c>
      <c r="I28" s="292"/>
      <c r="R28" s="150" t="s">
        <v>251</v>
      </c>
    </row>
    <row r="29" spans="1:18" ht="19.5" thickBot="1">
      <c r="F29" s="145">
        <v>32</v>
      </c>
      <c r="G29" s="146"/>
      <c r="H29" s="291" t="s">
        <v>68</v>
      </c>
      <c r="I29" s="292"/>
      <c r="R29" s="150" t="s">
        <v>252</v>
      </c>
    </row>
    <row r="30" spans="1:18" ht="19.5" thickBot="1">
      <c r="F30" s="1">
        <v>33</v>
      </c>
      <c r="G30" s="19"/>
      <c r="H30" s="289" t="str">
        <f>IF(K11=1,"高齢者等活躍促進加算","【適用不可】高齢者等活躍促進加算")</f>
        <v>【適用不可】高齢者等活躍促進加算</v>
      </c>
      <c r="I30" s="290"/>
    </row>
    <row r="31" spans="1:18" ht="19.5" thickBot="1">
      <c r="F31" s="1">
        <v>34</v>
      </c>
      <c r="G31" s="19"/>
      <c r="H31" s="289" t="str">
        <f>IF(K10=1,"施設機能強化推進費加算","【適用不可】施設機能強化推進費加算")</f>
        <v>【適用不可】施設機能強化推進費加算</v>
      </c>
      <c r="I31" s="290"/>
    </row>
    <row r="32" spans="1:18" ht="19.5" thickBot="1">
      <c r="F32" s="1">
        <v>35</v>
      </c>
      <c r="G32" s="19"/>
      <c r="H32" s="289" t="s">
        <v>69</v>
      </c>
      <c r="I32" s="290"/>
    </row>
    <row r="33" spans="6:9" ht="19.5" thickBot="1">
      <c r="F33" s="1">
        <v>36</v>
      </c>
      <c r="G33" s="19"/>
      <c r="H33" s="98"/>
      <c r="I33" s="99" t="s">
        <v>187</v>
      </c>
    </row>
    <row r="34" spans="6:9" ht="19.5" thickBot="1">
      <c r="F34" s="1">
        <v>37</v>
      </c>
      <c r="G34" s="19"/>
      <c r="H34" s="289" t="s">
        <v>70</v>
      </c>
      <c r="I34" s="290"/>
    </row>
  </sheetData>
  <mergeCells count="39">
    <mergeCell ref="A6:G6"/>
    <mergeCell ref="A3:D3"/>
    <mergeCell ref="A1:I1"/>
    <mergeCell ref="C9:D9"/>
    <mergeCell ref="C10:D10"/>
    <mergeCell ref="H10:I10"/>
    <mergeCell ref="H9:I9"/>
    <mergeCell ref="C11:D11"/>
    <mergeCell ref="C12:D12"/>
    <mergeCell ref="C13:D13"/>
    <mergeCell ref="C14:D14"/>
    <mergeCell ref="C16:D16"/>
    <mergeCell ref="C18:D18"/>
    <mergeCell ref="C20:D20"/>
    <mergeCell ref="C21:D21"/>
    <mergeCell ref="C22:D22"/>
    <mergeCell ref="C23:D23"/>
    <mergeCell ref="F12:F13"/>
    <mergeCell ref="F18:F19"/>
    <mergeCell ref="H22:I22"/>
    <mergeCell ref="H19:I19"/>
    <mergeCell ref="H18:I18"/>
    <mergeCell ref="H16:I16"/>
    <mergeCell ref="H15:I15"/>
    <mergeCell ref="H14:I14"/>
    <mergeCell ref="H13:I13"/>
    <mergeCell ref="H12:I12"/>
    <mergeCell ref="M16:M17"/>
    <mergeCell ref="H32:I32"/>
    <mergeCell ref="H34:I34"/>
    <mergeCell ref="H23:I23"/>
    <mergeCell ref="H24:I24"/>
    <mergeCell ref="H26:I26"/>
    <mergeCell ref="H27:I27"/>
    <mergeCell ref="H28:I28"/>
    <mergeCell ref="H30:I30"/>
    <mergeCell ref="H25:I25"/>
    <mergeCell ref="H29:I29"/>
    <mergeCell ref="H31:I31"/>
  </mergeCells>
  <phoneticPr fontId="1"/>
  <dataValidations count="7">
    <dataValidation type="list" allowBlank="1" showInputMessage="1" showErrorMessage="1" sqref="G9:G16 G21:G34 B9:B23 G18:G19">
      <formula1>"〇"</formula1>
    </dataValidation>
    <dataValidation type="whole" allowBlank="1" showInputMessage="1" showErrorMessage="1" sqref="C17">
      <formula1>1</formula1>
      <formula2>10</formula2>
    </dataValidation>
    <dataValidation type="list" allowBlank="1" showInputMessage="1" showErrorMessage="1" sqref="H21">
      <formula1>"A,B"</formula1>
    </dataValidation>
    <dataValidation type="whole" allowBlank="1" showInputMessage="1" showErrorMessage="1" sqref="C15">
      <formula1>1</formula1>
      <formula2>L18</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19">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view="pageBreakPreview" topLeftCell="A28" zoomScale="130" zoomScaleNormal="130" zoomScaleSheetLayoutView="130" workbookViewId="0">
      <selection activeCell="M41" sqref="M41"/>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240" t="s">
        <v>189</v>
      </c>
      <c r="C1" s="240"/>
      <c r="D1" s="240"/>
      <c r="E1" s="240"/>
      <c r="F1" s="240"/>
      <c r="G1" s="240"/>
      <c r="H1" s="240"/>
      <c r="I1" s="240"/>
      <c r="J1" s="240"/>
      <c r="K1" s="240"/>
      <c r="L1" s="240"/>
      <c r="M1" s="240"/>
      <c r="N1" s="240"/>
      <c r="O1" s="4"/>
    </row>
    <row r="2" spans="1:16" s="4" customFormat="1" ht="18.75" customHeight="1">
      <c r="B2" s="79"/>
      <c r="C2" s="79"/>
      <c r="D2" s="79"/>
      <c r="F2" s="79"/>
      <c r="G2" s="79"/>
      <c r="H2" s="79"/>
      <c r="O2" s="314">
        <f>改修履歴!A1</f>
        <v>0.99</v>
      </c>
      <c r="P2" s="314"/>
    </row>
    <row r="3" spans="1:16" s="4" customFormat="1" ht="19.5" customHeight="1" thickBot="1">
      <c r="B3" s="312" t="s">
        <v>41</v>
      </c>
      <c r="C3" s="312"/>
      <c r="D3" s="312"/>
      <c r="E3" s="312"/>
      <c r="F3" s="312"/>
      <c r="N3" s="313" t="s">
        <v>265</v>
      </c>
      <c r="O3" s="313"/>
    </row>
    <row r="4" spans="1:16" s="4" customFormat="1" ht="19.5" customHeight="1" thickBot="1">
      <c r="B4" s="305" t="str">
        <f>①基本情報!A7</f>
        <v>〇〇認定こども園</v>
      </c>
      <c r="C4" s="306"/>
      <c r="D4" s="306"/>
      <c r="E4" s="306"/>
      <c r="F4" s="306"/>
      <c r="G4" s="306"/>
      <c r="H4" s="306"/>
      <c r="I4" s="306"/>
      <c r="J4" s="306"/>
      <c r="K4" s="307"/>
      <c r="L4" s="135"/>
      <c r="M4" s="100"/>
      <c r="N4" s="303">
        <f>①基本情報!A4</f>
        <v>44652</v>
      </c>
      <c r="O4" s="304"/>
    </row>
    <row r="5" spans="1:16" s="4" customFormat="1" ht="15.75">
      <c r="B5" s="79"/>
      <c r="C5" s="79"/>
      <c r="D5" s="79"/>
      <c r="F5" s="79"/>
      <c r="G5" s="79"/>
      <c r="H5" s="79"/>
    </row>
    <row r="6" spans="1:16" s="4" customFormat="1" ht="16.5" thickBot="1">
      <c r="B6" s="79"/>
      <c r="C6" s="79"/>
      <c r="D6" s="79"/>
      <c r="F6" s="79"/>
      <c r="G6" s="79"/>
      <c r="H6" s="79"/>
    </row>
    <row r="7" spans="1:16" s="4" customFormat="1" ht="16.5" thickBot="1">
      <c r="A7" s="308" t="s">
        <v>153</v>
      </c>
      <c r="B7" s="309"/>
      <c r="C7" s="309"/>
      <c r="D7" s="309"/>
      <c r="E7" s="309"/>
      <c r="F7" s="309"/>
      <c r="G7" s="309"/>
      <c r="H7" s="309"/>
      <c r="I7" s="310"/>
      <c r="K7" s="302" t="s">
        <v>222</v>
      </c>
      <c r="L7" s="302"/>
      <c r="M7" s="302"/>
      <c r="N7" s="302"/>
      <c r="O7" s="302"/>
    </row>
    <row r="8" spans="1:16" s="4" customFormat="1" ht="17.25" thickBot="1">
      <c r="A8" s="104"/>
      <c r="B8" s="103" t="s">
        <v>136</v>
      </c>
      <c r="C8" s="10"/>
      <c r="D8" s="10"/>
      <c r="E8" s="100"/>
      <c r="F8" s="103" t="s">
        <v>137</v>
      </c>
      <c r="G8" s="10"/>
      <c r="H8" s="10"/>
      <c r="I8" s="105"/>
      <c r="K8" s="311" t="str">
        <f>"常勤 "&amp;③職員名簿!V43&amp;" 人+ 非常勤常勤換算 "&amp;③職員名簿!X44&amp;"人"</f>
        <v>常勤 18 人+ 非常勤常勤換算 2.6人</v>
      </c>
      <c r="L8" s="311"/>
      <c r="M8" s="311"/>
      <c r="N8" s="125" t="s">
        <v>163</v>
      </c>
      <c r="O8" s="90">
        <f>③職員名簿!V43+③職員名簿!X44</f>
        <v>20.6</v>
      </c>
      <c r="P8" s="4" t="s">
        <v>145</v>
      </c>
    </row>
    <row r="9" spans="1:16" s="4" customFormat="1" ht="15.75">
      <c r="A9" s="104"/>
      <c r="B9" s="82" t="str">
        <f>IF(①基本情報!H4="","",①基本情報!H4)</f>
        <v/>
      </c>
      <c r="C9" s="96">
        <v>1</v>
      </c>
      <c r="D9" s="96" t="s">
        <v>184</v>
      </c>
      <c r="E9" s="100"/>
      <c r="F9" s="82" t="str">
        <f>IF(①基本情報!H9="","",①基本情報!H9)</f>
        <v/>
      </c>
      <c r="G9" s="96">
        <v>1</v>
      </c>
      <c r="H9" s="96" t="s">
        <v>186</v>
      </c>
      <c r="I9" s="105"/>
      <c r="O9" s="4" t="str">
        <f>IF(O8-M18&lt;=0,"NG","")</f>
        <v/>
      </c>
    </row>
    <row r="10" spans="1:16" s="4" customFormat="1" ht="15.75">
      <c r="A10" s="104"/>
      <c r="B10" s="82" t="str">
        <f>IF(①基本情報!H5="","",①基本情報!H5)</f>
        <v/>
      </c>
      <c r="C10" s="96">
        <v>2</v>
      </c>
      <c r="D10" s="96" t="s">
        <v>139</v>
      </c>
      <c r="E10" s="100"/>
      <c r="F10" s="82" t="str">
        <f>IF(①基本情報!H10="-","",①基本情報!H10)</f>
        <v/>
      </c>
      <c r="G10" s="96">
        <v>2</v>
      </c>
      <c r="H10" s="96" t="s">
        <v>141</v>
      </c>
      <c r="I10" s="105"/>
      <c r="K10" s="301" t="s">
        <v>143</v>
      </c>
      <c r="L10" s="301"/>
      <c r="M10" s="301"/>
      <c r="N10" s="132"/>
    </row>
    <row r="11" spans="1:16" s="4" customFormat="1" ht="15.75">
      <c r="A11" s="104"/>
      <c r="B11" s="82" t="str">
        <f>IF(①基本情報!H6="","",①基本情報!H6)</f>
        <v/>
      </c>
      <c r="C11" s="96">
        <v>3</v>
      </c>
      <c r="D11" s="96" t="s">
        <v>138</v>
      </c>
      <c r="E11" s="100"/>
      <c r="F11" s="82" t="str">
        <f>IF(①基本情報!H11="","",①基本情報!H11)</f>
        <v/>
      </c>
      <c r="G11" s="96">
        <v>3</v>
      </c>
      <c r="H11" s="96" t="s">
        <v>185</v>
      </c>
      <c r="I11" s="105"/>
      <c r="K11" s="51"/>
      <c r="L11" s="51" t="s">
        <v>80</v>
      </c>
      <c r="M11" s="51" t="s">
        <v>81</v>
      </c>
    </row>
    <row r="12" spans="1:16" s="4" customFormat="1" ht="15.75" customHeight="1">
      <c r="A12" s="104"/>
      <c r="B12" s="82" t="str">
        <f>IF(①基本情報!H7="","",①基本情報!H7)</f>
        <v/>
      </c>
      <c r="C12" s="96">
        <v>4</v>
      </c>
      <c r="D12" s="96" t="s">
        <v>140</v>
      </c>
      <c r="E12" s="100"/>
      <c r="F12" s="82" t="str">
        <f>IF(①基本情報!H12="","",①基本情報!H12)</f>
        <v/>
      </c>
      <c r="G12" s="96">
        <v>4</v>
      </c>
      <c r="H12" s="96" t="s">
        <v>142</v>
      </c>
      <c r="I12" s="105"/>
      <c r="K12" s="51" t="s">
        <v>78</v>
      </c>
      <c r="L12" s="11">
        <f>②児童名簿!J13</f>
        <v>0</v>
      </c>
      <c r="M12" s="83">
        <f>ROUNDDOWN(L12/3,1)</f>
        <v>0</v>
      </c>
    </row>
    <row r="13" spans="1:16" s="4" customFormat="1" ht="15.75">
      <c r="A13" s="104"/>
      <c r="B13" s="82" t="str">
        <f>IF(①基本情報!H8="","",①基本情報!H8)</f>
        <v/>
      </c>
      <c r="C13" s="127">
        <v>5</v>
      </c>
      <c r="D13" s="127" t="s">
        <v>196</v>
      </c>
      <c r="E13" s="102"/>
      <c r="F13" s="82" t="str">
        <f>IF(①基本情報!H13="-","",①基本情報!H13)</f>
        <v/>
      </c>
      <c r="G13" s="96">
        <v>5</v>
      </c>
      <c r="H13" s="96" t="s">
        <v>140</v>
      </c>
      <c r="I13" s="105"/>
      <c r="K13" s="51" t="s">
        <v>83</v>
      </c>
      <c r="L13" s="11">
        <f>②児童名簿!K13+②児童名簿!L13</f>
        <v>1</v>
      </c>
      <c r="M13" s="83">
        <f>ROUNDDOWN(L13/6,1)</f>
        <v>0.1</v>
      </c>
    </row>
    <row r="14" spans="1:16" s="4" customFormat="1" ht="15.75">
      <c r="A14" s="104"/>
      <c r="B14" s="10"/>
      <c r="C14" s="10" t="str">
        <f>IF(D14&gt;=2,"OK","")</f>
        <v/>
      </c>
      <c r="D14" s="101">
        <f>①基本情報!L2</f>
        <v>0</v>
      </c>
      <c r="E14" s="102"/>
      <c r="F14" s="85"/>
      <c r="G14" s="10" t="str">
        <f>IF(H14&gt;=2,"OK","")</f>
        <v/>
      </c>
      <c r="H14" s="86">
        <f>①基本情報!L3</f>
        <v>0</v>
      </c>
      <c r="I14" s="105"/>
      <c r="K14" s="51" t="s">
        <v>79</v>
      </c>
      <c r="L14" s="11">
        <f>②児童名簿!M13</f>
        <v>0</v>
      </c>
      <c r="M14" s="83">
        <f>IF(B22="〇",ROUNDDOWN(L14/15,1),ROUNDDOWN(L14/20,1))</f>
        <v>0</v>
      </c>
      <c r="N14" s="131"/>
    </row>
    <row r="15" spans="1:16" s="4" customFormat="1" ht="16.5" thickBot="1">
      <c r="A15" s="106"/>
      <c r="B15" s="107"/>
      <c r="C15" s="107"/>
      <c r="D15" s="108"/>
      <c r="E15" s="109"/>
      <c r="F15" s="110"/>
      <c r="G15" s="107"/>
      <c r="H15" s="111"/>
      <c r="I15" s="112"/>
      <c r="K15" s="51" t="s">
        <v>84</v>
      </c>
      <c r="L15" s="11">
        <f>②児童名簿!N13+②児童名簿!O13</f>
        <v>0</v>
      </c>
      <c r="M15" s="87">
        <f>ROUNDDOWN(L15/30,1)</f>
        <v>0</v>
      </c>
      <c r="N15" s="131"/>
    </row>
    <row r="16" spans="1:16" s="4" customFormat="1" ht="16.5" thickBot="1">
      <c r="B16" s="10"/>
      <c r="C16" s="10"/>
      <c r="D16" s="101"/>
      <c r="E16" s="102"/>
      <c r="F16" s="85"/>
      <c r="G16" s="85"/>
      <c r="H16" s="86"/>
      <c r="K16" s="323" t="b">
        <f>IF(④加算!B12="〇","※３歳児配置改善加算適用")</f>
        <v>0</v>
      </c>
      <c r="L16" s="84" t="s">
        <v>82</v>
      </c>
      <c r="M16" s="89">
        <f>SUM(M12:M15)</f>
        <v>0.1</v>
      </c>
      <c r="N16" s="130"/>
      <c r="O16" s="100"/>
    </row>
    <row r="17" spans="1:16" s="4" customFormat="1" ht="19.5" customHeight="1" thickBot="1">
      <c r="A17" s="316" t="s">
        <v>144</v>
      </c>
      <c r="B17" s="317"/>
      <c r="C17" s="317"/>
      <c r="D17" s="317"/>
      <c r="E17" s="317"/>
      <c r="F17" s="317"/>
      <c r="G17" s="317"/>
      <c r="H17" s="317"/>
      <c r="I17" s="318"/>
      <c r="K17" s="324"/>
    </row>
    <row r="18" spans="1:16" s="4" customFormat="1" ht="16.5" thickBot="1">
      <c r="A18" s="104"/>
      <c r="B18" s="103" t="s">
        <v>71</v>
      </c>
      <c r="C18" s="10"/>
      <c r="D18" s="10"/>
      <c r="E18" s="88"/>
      <c r="F18" s="103" t="s">
        <v>53</v>
      </c>
      <c r="G18" s="10"/>
      <c r="H18" s="10"/>
      <c r="I18" s="105"/>
      <c r="M18" s="89">
        <f>ROUND(M16,0)</f>
        <v>0</v>
      </c>
      <c r="N18" s="4" t="s">
        <v>145</v>
      </c>
      <c r="O18" s="89">
        <f>O8-M18</f>
        <v>20.6</v>
      </c>
      <c r="P18" s="4" t="s">
        <v>145</v>
      </c>
    </row>
    <row r="19" spans="1:16" s="4" customFormat="1" ht="15.75">
      <c r="A19" s="104"/>
      <c r="B19" s="82" t="str">
        <f>IF(④加算!B9="","",④加算!B9)</f>
        <v>〇</v>
      </c>
      <c r="C19" s="96">
        <v>1</v>
      </c>
      <c r="D19" s="96" t="s">
        <v>120</v>
      </c>
      <c r="E19" s="88"/>
      <c r="F19" s="82" t="str">
        <f>IF(④加算!G9="","",④加算!G9)</f>
        <v/>
      </c>
      <c r="G19" s="96">
        <v>16</v>
      </c>
      <c r="H19" s="96" t="s">
        <v>173</v>
      </c>
      <c r="I19" s="105"/>
    </row>
    <row r="20" spans="1:16" s="4" customFormat="1" ht="15.75">
      <c r="A20" s="104"/>
      <c r="B20" s="82" t="str">
        <f>IF(④加算!B10="","",④加算!B10)</f>
        <v/>
      </c>
      <c r="C20" s="96">
        <v>2</v>
      </c>
      <c r="D20" s="96" t="s">
        <v>116</v>
      </c>
      <c r="E20" s="88"/>
      <c r="F20" s="82" t="str">
        <f>IF(④加算!G10="","",④加算!G10)</f>
        <v/>
      </c>
      <c r="G20" s="96">
        <v>17</v>
      </c>
      <c r="H20" s="96" t="s">
        <v>125</v>
      </c>
      <c r="I20" s="105"/>
      <c r="K20" s="325" t="s">
        <v>225</v>
      </c>
      <c r="L20" s="325"/>
      <c r="M20" s="148" t="str">
        <f>IF(O18&gt;=0,"満たしている","満たしていない")</f>
        <v>満たしている</v>
      </c>
    </row>
    <row r="21" spans="1:16" s="4" customFormat="1" ht="15.75">
      <c r="A21" s="104"/>
      <c r="B21" s="82" t="str">
        <f>IF(④加算!B11="","",④加算!B11)</f>
        <v/>
      </c>
      <c r="C21" s="96">
        <v>3</v>
      </c>
      <c r="D21" s="96" t="s">
        <v>121</v>
      </c>
      <c r="E21" s="88"/>
      <c r="F21" s="82" t="str">
        <f>IF(④加算!G11="","",④加算!H11)</f>
        <v/>
      </c>
      <c r="G21" s="96">
        <v>18</v>
      </c>
      <c r="H21" s="96" t="s">
        <v>174</v>
      </c>
      <c r="I21" s="105"/>
    </row>
    <row r="22" spans="1:16" s="4" customFormat="1" ht="15.75">
      <c r="A22" s="104"/>
      <c r="B22" s="82" t="str">
        <f>IF(④加算!B12="","",④加算!B12)</f>
        <v/>
      </c>
      <c r="C22" s="96">
        <v>4</v>
      </c>
      <c r="D22" s="96" t="s">
        <v>175</v>
      </c>
      <c r="E22" s="88"/>
      <c r="F22" s="82" t="str">
        <f>IF(④加算!G12="","",④加算!G12)</f>
        <v/>
      </c>
      <c r="G22" s="315">
        <v>19</v>
      </c>
      <c r="H22" s="96" t="s">
        <v>126</v>
      </c>
      <c r="I22" s="105"/>
      <c r="K22" s="321" t="s">
        <v>223</v>
      </c>
      <c r="L22" s="322"/>
      <c r="M22" s="322"/>
    </row>
    <row r="23" spans="1:16" s="4" customFormat="1" ht="16.5" thickBot="1">
      <c r="A23" s="104"/>
      <c r="B23" s="82" t="str">
        <f>IF(④加算!B13="","",④加算!B13)</f>
        <v/>
      </c>
      <c r="C23" s="96">
        <v>5</v>
      </c>
      <c r="D23" s="96" t="s">
        <v>176</v>
      </c>
      <c r="E23" s="88"/>
      <c r="F23" s="82" t="str">
        <f>IF(④加算!G13="","",④加算!G13)</f>
        <v/>
      </c>
      <c r="G23" s="315"/>
      <c r="H23" s="96" t="s">
        <v>127</v>
      </c>
      <c r="I23" s="105"/>
      <c r="K23" s="320" t="s">
        <v>197</v>
      </c>
      <c r="L23" s="320"/>
      <c r="M23" s="326">
        <f>IF(OR(B9="〇",B10="〇"),1,0)</f>
        <v>0</v>
      </c>
      <c r="N23" s="4" t="s">
        <v>145</v>
      </c>
    </row>
    <row r="24" spans="1:16" s="4" customFormat="1" ht="16.5" customHeight="1" thickBot="1">
      <c r="A24" s="104"/>
      <c r="B24" s="82" t="str">
        <f>IF(④加算!B14="","",④加算!B14)</f>
        <v/>
      </c>
      <c r="C24" s="96">
        <v>6</v>
      </c>
      <c r="D24" s="96" t="s">
        <v>177</v>
      </c>
      <c r="E24" s="88"/>
      <c r="F24" s="82" t="str">
        <f>IF(④加算!G14="","",④加算!G14)</f>
        <v/>
      </c>
      <c r="G24" s="96">
        <v>20</v>
      </c>
      <c r="H24" s="96" t="s">
        <v>128</v>
      </c>
      <c r="I24" s="105"/>
      <c r="K24" s="320" t="s">
        <v>198</v>
      </c>
      <c r="L24" s="320"/>
      <c r="M24" s="327"/>
      <c r="N24" s="4" t="s">
        <v>145</v>
      </c>
      <c r="O24" s="89">
        <f>O18-(M23+M24)</f>
        <v>20.6</v>
      </c>
      <c r="P24" s="4" t="s">
        <v>145</v>
      </c>
    </row>
    <row r="25" spans="1:16" s="4" customFormat="1" ht="15.75">
      <c r="A25" s="104"/>
      <c r="B25" s="82" t="str">
        <f>IF(④加算!B15="","",④加算!C15)</f>
        <v/>
      </c>
      <c r="C25" s="96">
        <v>7</v>
      </c>
      <c r="D25" s="96" t="s">
        <v>122</v>
      </c>
      <c r="E25" s="88"/>
      <c r="F25" s="82" t="str">
        <f>IF(④加算!G15="","",④加算!G15)</f>
        <v/>
      </c>
      <c r="G25" s="96">
        <v>21</v>
      </c>
      <c r="H25" s="96" t="s">
        <v>129</v>
      </c>
      <c r="I25" s="105"/>
    </row>
    <row r="26" spans="1:16" s="4" customFormat="1" ht="16.5" thickBot="1">
      <c r="A26" s="104"/>
      <c r="B26" s="82" t="str">
        <f>IF(④加算!B16="","",④加算!B16)</f>
        <v/>
      </c>
      <c r="C26" s="96">
        <v>8</v>
      </c>
      <c r="D26" s="96" t="s">
        <v>178</v>
      </c>
      <c r="E26" s="88"/>
      <c r="F26" s="82" t="str">
        <f>IF(④加算!G16="","",④加算!G16)</f>
        <v/>
      </c>
      <c r="G26" s="96">
        <v>22</v>
      </c>
      <c r="H26" s="96" t="s">
        <v>130</v>
      </c>
      <c r="I26" s="105"/>
      <c r="K26" s="319" t="str">
        <f>"２・３号利用定員＝ "&amp;SUM(①基本情報!H18:H19)&amp;" 人"</f>
        <v>２・３号利用定員＝ 0 人</v>
      </c>
      <c r="L26" s="319"/>
      <c r="M26" s="319"/>
    </row>
    <row r="27" spans="1:16" s="4" customFormat="1" ht="16.5" thickBot="1">
      <c r="A27" s="104"/>
      <c r="B27" s="82">
        <f>IF(④加算!B17="","",④加算!C17)</f>
        <v>5</v>
      </c>
      <c r="C27" s="96">
        <v>9</v>
      </c>
      <c r="D27" s="96" t="s">
        <v>123</v>
      </c>
      <c r="E27" s="88"/>
      <c r="F27" s="103" t="s">
        <v>60</v>
      </c>
      <c r="G27" s="10"/>
      <c r="H27" s="10"/>
      <c r="I27" s="105"/>
      <c r="K27" s="315" t="s">
        <v>190</v>
      </c>
      <c r="L27" s="315"/>
      <c r="M27" s="82">
        <f>IF(SUM(①基本情報!H18:H19)&lt;=90,1,0)</f>
        <v>1</v>
      </c>
      <c r="N27" s="4" t="s">
        <v>145</v>
      </c>
      <c r="O27" s="89">
        <f>O24-M27</f>
        <v>19.600000000000001</v>
      </c>
      <c r="P27" s="4" t="s">
        <v>145</v>
      </c>
    </row>
    <row r="28" spans="1:16" s="4" customFormat="1" ht="15.75">
      <c r="A28" s="104"/>
      <c r="B28" s="82" t="str">
        <f>IF(④加算!B18="","",④加算!B18)</f>
        <v/>
      </c>
      <c r="C28" s="96">
        <v>10</v>
      </c>
      <c r="D28" s="96" t="s">
        <v>179</v>
      </c>
      <c r="E28" s="88"/>
      <c r="F28" s="82" t="str">
        <f>IF(④加算!G18="","",④加算!G18)</f>
        <v/>
      </c>
      <c r="G28" s="315">
        <v>23</v>
      </c>
      <c r="H28" s="96" t="s">
        <v>154</v>
      </c>
      <c r="I28" s="105"/>
      <c r="M28" s="139" t="str">
        <f>IF(M27=0,"（91人以上＝０）","（90人以下＝１）")</f>
        <v>（90人以下＝１）</v>
      </c>
    </row>
    <row r="29" spans="1:16" s="4" customFormat="1" ht="16.5" thickBot="1">
      <c r="A29" s="104"/>
      <c r="B29" s="152" t="str">
        <f>IF(④加算!B19="","",④加算!C19)</f>
        <v/>
      </c>
      <c r="C29" s="96">
        <v>11</v>
      </c>
      <c r="D29" s="96" t="s">
        <v>180</v>
      </c>
      <c r="E29" s="88"/>
      <c r="F29" s="82" t="str">
        <f>IF(④加算!G19="","",④加算!G19)</f>
        <v/>
      </c>
      <c r="G29" s="315"/>
      <c r="H29" s="96" t="s">
        <v>155</v>
      </c>
      <c r="I29" s="105"/>
      <c r="M29" s="139"/>
    </row>
    <row r="30" spans="1:16" s="4" customFormat="1" ht="16.5" thickBot="1">
      <c r="A30" s="104"/>
      <c r="B30" s="82" t="str">
        <f>IF(④加算!B20="","",④加算!B20)</f>
        <v/>
      </c>
      <c r="C30" s="96">
        <v>12</v>
      </c>
      <c r="D30" s="96" t="s">
        <v>181</v>
      </c>
      <c r="E30" s="88"/>
      <c r="F30" s="103" t="s">
        <v>61</v>
      </c>
      <c r="G30" s="10"/>
      <c r="H30" s="10"/>
      <c r="I30" s="105"/>
      <c r="K30" s="315" t="s">
        <v>191</v>
      </c>
      <c r="L30" s="315"/>
      <c r="M30" s="82">
        <v>1</v>
      </c>
      <c r="N30" s="4" t="s">
        <v>145</v>
      </c>
      <c r="O30" s="89">
        <f>O27-M30</f>
        <v>18.600000000000001</v>
      </c>
      <c r="P30" s="4" t="s">
        <v>145</v>
      </c>
    </row>
    <row r="31" spans="1:16" s="4" customFormat="1" ht="15.75">
      <c r="A31" s="104"/>
      <c r="B31" s="82" t="str">
        <f>IF(④加算!B21="","",④加算!B21)</f>
        <v/>
      </c>
      <c r="C31" s="96">
        <v>13</v>
      </c>
      <c r="D31" s="96" t="s">
        <v>182</v>
      </c>
      <c r="E31" s="88"/>
      <c r="F31" s="82" t="str">
        <f>IF(④加算!G21="","",④加算!H21)</f>
        <v/>
      </c>
      <c r="G31" s="96">
        <v>24</v>
      </c>
      <c r="H31" s="96" t="s">
        <v>131</v>
      </c>
      <c r="I31" s="105"/>
    </row>
    <row r="32" spans="1:16" s="4" customFormat="1" ht="15" customHeight="1">
      <c r="A32" s="104"/>
      <c r="B32" s="82" t="str">
        <f>IF(④加算!B22="","",④加算!B22)</f>
        <v/>
      </c>
      <c r="C32" s="96">
        <v>14</v>
      </c>
      <c r="D32" s="96" t="s">
        <v>124</v>
      </c>
      <c r="E32" s="88"/>
      <c r="F32" s="82" t="str">
        <f>IF(④加算!G22="","",④加算!G22)</f>
        <v/>
      </c>
      <c r="G32" s="96">
        <v>25</v>
      </c>
      <c r="H32" s="96" t="s">
        <v>168</v>
      </c>
      <c r="I32" s="105"/>
    </row>
    <row r="33" spans="1:17" s="4" customFormat="1" ht="15.75">
      <c r="A33" s="104"/>
      <c r="B33" s="82" t="str">
        <f>IF(④加算!B23="","",④加算!B23)</f>
        <v>〇</v>
      </c>
      <c r="C33" s="96">
        <v>15</v>
      </c>
      <c r="D33" s="96" t="s">
        <v>183</v>
      </c>
      <c r="E33" s="100"/>
      <c r="F33" s="82" t="str">
        <f>IF(④加算!G23="","",④加算!G23)</f>
        <v/>
      </c>
      <c r="G33" s="96">
        <v>26</v>
      </c>
      <c r="H33" s="96" t="s">
        <v>169</v>
      </c>
      <c r="I33" s="105"/>
      <c r="K33" s="331"/>
      <c r="L33" s="331"/>
      <c r="M33" s="148" t="str">
        <f>IF(O30&gt;=0,"満たしている","満たしていない")</f>
        <v>満たしている</v>
      </c>
    </row>
    <row r="34" spans="1:17" s="4" customFormat="1" ht="16.5" thickBot="1">
      <c r="A34" s="104"/>
      <c r="B34" s="10"/>
      <c r="C34" s="10"/>
      <c r="D34" s="10"/>
      <c r="E34" s="100"/>
      <c r="F34" s="82" t="str">
        <f>IF(④加算!G24="","",④加算!G24)</f>
        <v/>
      </c>
      <c r="G34" s="96">
        <v>27</v>
      </c>
      <c r="H34" s="96" t="s">
        <v>170</v>
      </c>
      <c r="I34" s="105"/>
    </row>
    <row r="35" spans="1:17" s="4" customFormat="1" ht="16.5" thickBot="1">
      <c r="A35" s="104"/>
      <c r="B35" s="10"/>
      <c r="C35" s="10"/>
      <c r="D35" s="10"/>
      <c r="E35" s="100"/>
      <c r="F35" s="82" t="str">
        <f>IF(④加算!G25="","",④加算!G25)</f>
        <v>〇</v>
      </c>
      <c r="G35" s="96">
        <v>28</v>
      </c>
      <c r="H35" s="96" t="s">
        <v>132</v>
      </c>
      <c r="I35" s="105"/>
      <c r="K35" s="328" t="s">
        <v>199</v>
      </c>
      <c r="L35" s="328"/>
      <c r="M35" s="129">
        <f>IF(B21="〇",1,0)</f>
        <v>0</v>
      </c>
      <c r="N35" s="4" t="s">
        <v>145</v>
      </c>
      <c r="O35" s="89">
        <f>O30-M35</f>
        <v>18.600000000000001</v>
      </c>
      <c r="P35" s="4" t="s">
        <v>145</v>
      </c>
      <c r="Q35" s="164">
        <f>O35-ROUNDDOWN(O35,0)</f>
        <v>0.60000000000000142</v>
      </c>
    </row>
    <row r="36" spans="1:17" s="4" customFormat="1" ht="16.5" thickBot="1">
      <c r="A36" s="104"/>
      <c r="B36" s="10"/>
      <c r="C36" s="10"/>
      <c r="D36" s="10"/>
      <c r="E36" s="100"/>
      <c r="F36" s="82" t="str">
        <f>IF(④加算!G26="","",④加算!G26)</f>
        <v>〇</v>
      </c>
      <c r="G36" s="96">
        <v>29</v>
      </c>
      <c r="H36" s="96" t="s">
        <v>133</v>
      </c>
      <c r="I36" s="105"/>
      <c r="K36" s="140"/>
      <c r="L36" s="140"/>
      <c r="M36" s="140"/>
      <c r="Q36" s="79">
        <f>IF(Q35&gt;=0.5,1,IF(Q35&gt;=0.3,0.5,0))</f>
        <v>1</v>
      </c>
    </row>
    <row r="37" spans="1:17" s="4" customFormat="1" ht="16.5" thickBot="1">
      <c r="A37" s="104"/>
      <c r="B37" s="10"/>
      <c r="C37" s="10"/>
      <c r="D37" s="10"/>
      <c r="E37" s="100"/>
      <c r="F37" s="82" t="str">
        <f>IF(④加算!G27="","",④加算!G27)</f>
        <v/>
      </c>
      <c r="G37" s="96">
        <v>30</v>
      </c>
      <c r="H37" s="96" t="s">
        <v>167</v>
      </c>
      <c r="I37" s="105"/>
      <c r="K37" s="329" t="str">
        <f>"１・２号利用定員(３歳児以上)＝ "&amp;④加算!M18&amp;" 人"</f>
        <v>１・２号利用定員(３歳児以上)＝ 0 人</v>
      </c>
      <c r="L37" s="329"/>
      <c r="M37" s="329"/>
      <c r="O37" s="89">
        <f>ROUNDDOWN(O35,0)+Q36</f>
        <v>19</v>
      </c>
      <c r="P37" s="4" t="s">
        <v>145</v>
      </c>
      <c r="Q37" s="163" t="str">
        <f>IF(Q36=1,"切上げ",IF(Q36=0.5,"半切上げ","切捨て"))</f>
        <v>切上げ</v>
      </c>
    </row>
    <row r="38" spans="1:17" s="4" customFormat="1" ht="15.75">
      <c r="A38" s="104"/>
      <c r="B38" s="10"/>
      <c r="C38" s="10"/>
      <c r="D38" s="10"/>
      <c r="E38" s="100"/>
      <c r="F38" s="147" t="str">
        <f>IF(④加算!G28="","",④加算!G28)</f>
        <v/>
      </c>
      <c r="G38" s="147">
        <v>31</v>
      </c>
      <c r="H38" s="147" t="s">
        <v>134</v>
      </c>
      <c r="I38" s="105"/>
      <c r="K38" s="328" t="s">
        <v>193</v>
      </c>
      <c r="L38" s="328"/>
      <c r="M38" s="5" t="e">
        <f>④加算!L18</f>
        <v>#N/A</v>
      </c>
      <c r="N38" s="4" t="s">
        <v>145</v>
      </c>
      <c r="O38" s="165" t="s">
        <v>274</v>
      </c>
    </row>
    <row r="39" spans="1:17" s="4" customFormat="1" ht="15.75">
      <c r="A39" s="104"/>
      <c r="B39" s="10"/>
      <c r="C39" s="10"/>
      <c r="D39" s="10"/>
      <c r="E39" s="100"/>
      <c r="F39" s="147" t="str">
        <f>IF(④加算!G29="","",④加算!G29)</f>
        <v/>
      </c>
      <c r="G39" s="147">
        <v>32</v>
      </c>
      <c r="H39" s="147" t="s">
        <v>135</v>
      </c>
      <c r="I39" s="105"/>
      <c r="L39" s="330" t="e">
        <f>"　　　"&amp;M38&amp;"人以下？"</f>
        <v>#N/A</v>
      </c>
      <c r="M39" s="330"/>
      <c r="N39" s="128" t="str">
        <f>O37&amp;"人以下？"</f>
        <v>19人以下？</v>
      </c>
    </row>
    <row r="40" spans="1:17" s="4" customFormat="1" ht="15.75">
      <c r="A40" s="104"/>
      <c r="B40" s="10"/>
      <c r="C40" s="10"/>
      <c r="D40" s="10"/>
      <c r="E40" s="100"/>
      <c r="F40" s="82" t="str">
        <f>IF(④加算!G30="","",④加算!G30)</f>
        <v/>
      </c>
      <c r="G40" s="96">
        <v>33</v>
      </c>
      <c r="H40" s="96" t="s">
        <v>164</v>
      </c>
      <c r="I40" s="105"/>
      <c r="K40" s="315" t="s">
        <v>192</v>
      </c>
      <c r="L40" s="315"/>
      <c r="M40" s="82" t="str">
        <f>B25</f>
        <v/>
      </c>
      <c r="N40" s="4" t="s">
        <v>145</v>
      </c>
    </row>
    <row r="41" spans="1:17" s="4" customFormat="1" ht="15.75">
      <c r="A41" s="104"/>
      <c r="B41" s="10"/>
      <c r="C41" s="10"/>
      <c r="D41" s="10"/>
      <c r="E41" s="100"/>
      <c r="F41" s="82" t="str">
        <f>IF(④加算!G31="","",④加算!G31)</f>
        <v/>
      </c>
      <c r="G41" s="96">
        <v>34</v>
      </c>
      <c r="H41" s="96" t="s">
        <v>171</v>
      </c>
      <c r="I41" s="105"/>
      <c r="M41" s="91" t="e">
        <f>IF(M38-M40&lt;0,"加算不可！",IF(O37-M40&lt;0,"加算不可！","加算OK"))</f>
        <v>#N/A</v>
      </c>
    </row>
    <row r="42" spans="1:17" s="4" customFormat="1" ht="15.75">
      <c r="A42" s="104"/>
      <c r="B42" s="10"/>
      <c r="C42" s="10"/>
      <c r="D42" s="10"/>
      <c r="E42" s="100"/>
      <c r="F42" s="82" t="str">
        <f>IF(④加算!G32="","",④加算!G32)</f>
        <v/>
      </c>
      <c r="G42" s="96">
        <v>35</v>
      </c>
      <c r="H42" s="96" t="s">
        <v>172</v>
      </c>
      <c r="I42" s="105"/>
    </row>
    <row r="43" spans="1:17" s="4" customFormat="1" ht="15.75">
      <c r="A43" s="104"/>
      <c r="B43" s="10"/>
      <c r="C43" s="10"/>
      <c r="D43" s="10"/>
      <c r="E43" s="100"/>
      <c r="F43" s="82" t="str">
        <f>IF(④加算!G33="","",④加算!H33)</f>
        <v/>
      </c>
      <c r="G43" s="96">
        <v>36</v>
      </c>
      <c r="H43" s="96" t="s">
        <v>165</v>
      </c>
      <c r="I43" s="105"/>
    </row>
    <row r="44" spans="1:17" s="4" customFormat="1" ht="15.75">
      <c r="A44" s="104"/>
      <c r="B44" s="10"/>
      <c r="C44" s="10"/>
      <c r="D44" s="10"/>
      <c r="E44" s="100"/>
      <c r="F44" s="82" t="str">
        <f>IF(④加算!G34="","",④加算!G34)</f>
        <v/>
      </c>
      <c r="G44" s="96">
        <v>37</v>
      </c>
      <c r="H44" s="96" t="s">
        <v>166</v>
      </c>
      <c r="I44" s="105"/>
    </row>
    <row r="45" spans="1:17" s="4" customFormat="1" ht="15.75">
      <c r="A45" s="104"/>
      <c r="B45" s="10"/>
      <c r="C45" s="10"/>
      <c r="D45" s="10"/>
      <c r="E45" s="100"/>
      <c r="F45" s="10"/>
      <c r="G45" s="10"/>
      <c r="H45" s="10"/>
      <c r="I45" s="105"/>
    </row>
    <row r="46" spans="1:17" s="4" customFormat="1" ht="16.5" thickBot="1">
      <c r="A46" s="106"/>
      <c r="B46" s="107"/>
      <c r="C46" s="107"/>
      <c r="D46" s="107"/>
      <c r="E46" s="113"/>
      <c r="F46" s="107"/>
      <c r="G46" s="107"/>
      <c r="H46" s="107"/>
      <c r="I46" s="112"/>
    </row>
    <row r="47" spans="1:17" s="4" customFormat="1" ht="15.75">
      <c r="B47" s="79"/>
      <c r="C47" s="79"/>
      <c r="D47" s="79"/>
      <c r="F47" s="79"/>
      <c r="G47" s="79"/>
      <c r="H47" s="79"/>
    </row>
    <row r="48" spans="1:17" s="4" customFormat="1" ht="15.75">
      <c r="B48" s="79"/>
      <c r="C48" s="79"/>
      <c r="D48" s="79"/>
      <c r="F48" s="79"/>
      <c r="G48" s="79"/>
      <c r="H48" s="79"/>
    </row>
    <row r="49" spans="1:16" s="4" customFormat="1" ht="15.75">
      <c r="B49" s="79"/>
      <c r="C49" s="79"/>
      <c r="D49" s="79"/>
      <c r="F49" s="79"/>
      <c r="G49" s="79"/>
      <c r="H49" s="79"/>
    </row>
    <row r="50" spans="1:16">
      <c r="A50" s="4"/>
      <c r="B50" s="79"/>
      <c r="C50" s="79"/>
      <c r="D50" s="79"/>
      <c r="E50" s="4"/>
      <c r="F50" s="79"/>
      <c r="G50" s="79"/>
      <c r="H50" s="79"/>
      <c r="I50" s="4"/>
      <c r="K50" s="4"/>
      <c r="L50" s="4"/>
      <c r="M50" s="4"/>
      <c r="N50" s="4"/>
      <c r="O50" s="4"/>
      <c r="P50" s="4"/>
    </row>
    <row r="51" spans="1:16">
      <c r="B51" s="79"/>
      <c r="C51" s="79"/>
      <c r="D51" s="79"/>
      <c r="E51" s="4"/>
      <c r="F51" s="79"/>
      <c r="G51" s="79"/>
      <c r="H51" s="79"/>
      <c r="K51" s="4"/>
      <c r="L51" s="4"/>
      <c r="M51" s="4"/>
      <c r="N51" s="4"/>
      <c r="O51" s="4"/>
      <c r="P51" s="4"/>
    </row>
    <row r="52" spans="1:16">
      <c r="B52" s="79"/>
      <c r="C52" s="79"/>
      <c r="D52" s="79"/>
      <c r="E52" s="4"/>
      <c r="F52" s="79"/>
      <c r="G52" s="79"/>
      <c r="H52" s="79"/>
      <c r="K52" s="4"/>
      <c r="L52" s="4"/>
      <c r="M52" s="4"/>
      <c r="N52" s="4"/>
      <c r="O52" s="4"/>
      <c r="P52" s="4"/>
    </row>
    <row r="53" spans="1:16">
      <c r="B53" s="79"/>
      <c r="C53" s="79"/>
      <c r="D53" s="79"/>
      <c r="E53" s="4"/>
      <c r="F53" s="79"/>
      <c r="G53" s="79"/>
      <c r="H53" s="79"/>
      <c r="K53" s="4"/>
      <c r="L53" s="4"/>
      <c r="M53" s="4"/>
      <c r="N53" s="4"/>
      <c r="O53" s="4"/>
      <c r="P53" s="4"/>
    </row>
    <row r="54" spans="1:16">
      <c r="B54" s="79"/>
      <c r="C54" s="79"/>
      <c r="D54" s="79"/>
      <c r="E54" s="4"/>
      <c r="F54" s="79"/>
      <c r="G54" s="79"/>
      <c r="H54" s="79"/>
      <c r="K54" s="4"/>
      <c r="L54" s="4"/>
      <c r="M54" s="4"/>
      <c r="N54" s="4"/>
      <c r="O54" s="4"/>
      <c r="P54" s="4"/>
    </row>
    <row r="55" spans="1:16">
      <c r="B55" s="79"/>
      <c r="C55" s="79"/>
      <c r="D55" s="79"/>
      <c r="E55" s="4"/>
      <c r="F55" s="79"/>
      <c r="G55" s="79"/>
      <c r="H55" s="79"/>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sheetProtection sheet="1" objects="1" scenarios="1"/>
  <mergeCells count="28">
    <mergeCell ref="K40:L40"/>
    <mergeCell ref="K30:L30"/>
    <mergeCell ref="K38:L38"/>
    <mergeCell ref="K37:M37"/>
    <mergeCell ref="L39:M39"/>
    <mergeCell ref="K35:L35"/>
    <mergeCell ref="K33:L33"/>
    <mergeCell ref="K27:L27"/>
    <mergeCell ref="A17:I17"/>
    <mergeCell ref="K26:M26"/>
    <mergeCell ref="G28:G29"/>
    <mergeCell ref="G22:G23"/>
    <mergeCell ref="K23:L23"/>
    <mergeCell ref="K24:L24"/>
    <mergeCell ref="K22:M22"/>
    <mergeCell ref="K16:K17"/>
    <mergeCell ref="K20:L20"/>
    <mergeCell ref="M23:M24"/>
    <mergeCell ref="K10:M10"/>
    <mergeCell ref="K7:O7"/>
    <mergeCell ref="N4:O4"/>
    <mergeCell ref="B4:K4"/>
    <mergeCell ref="B1:N1"/>
    <mergeCell ref="A7:I7"/>
    <mergeCell ref="K8:M8"/>
    <mergeCell ref="B3:F3"/>
    <mergeCell ref="N3:O3"/>
    <mergeCell ref="O2:P2"/>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A2" sqref="A2"/>
    </sheetView>
  </sheetViews>
  <sheetFormatPr defaultRowHeight="18.75"/>
  <sheetData>
    <row r="1" spans="1:13">
      <c r="A1" t="s">
        <v>303</v>
      </c>
      <c r="M1" s="158">
        <f>改修履歴!A1</f>
        <v>0.99</v>
      </c>
    </row>
    <row r="21" spans="1:13">
      <c r="A21" s="136" t="s">
        <v>203</v>
      </c>
      <c r="B21" s="333" t="s">
        <v>205</v>
      </c>
      <c r="C21" s="333"/>
      <c r="D21" s="333"/>
      <c r="E21" s="333"/>
      <c r="F21" s="333"/>
      <c r="G21" s="333"/>
      <c r="H21" s="333"/>
      <c r="I21" s="333"/>
      <c r="J21" s="333"/>
      <c r="K21" s="333"/>
      <c r="L21" s="333"/>
      <c r="M21" s="333"/>
    </row>
    <row r="22" spans="1:13" ht="38.25" customHeight="1">
      <c r="A22" s="137" t="s">
        <v>204</v>
      </c>
      <c r="B22" s="332" t="s">
        <v>208</v>
      </c>
      <c r="C22" s="332"/>
      <c r="D22" s="332"/>
      <c r="E22" s="332"/>
      <c r="F22" s="332"/>
      <c r="G22" s="332"/>
      <c r="H22" s="332"/>
      <c r="I22" s="332"/>
      <c r="J22" s="332"/>
      <c r="K22" s="332"/>
      <c r="L22" s="332"/>
      <c r="M22" s="332"/>
    </row>
    <row r="23" spans="1:13" ht="37.5" customHeight="1">
      <c r="A23" s="137" t="s">
        <v>206</v>
      </c>
      <c r="B23" s="334" t="s">
        <v>207</v>
      </c>
      <c r="C23" s="334"/>
      <c r="D23" s="334"/>
      <c r="E23" s="334"/>
      <c r="F23" s="334"/>
      <c r="G23" s="334"/>
      <c r="H23" s="334"/>
      <c r="I23" s="334"/>
      <c r="J23" s="334"/>
      <c r="K23" s="334"/>
      <c r="L23" s="334"/>
      <c r="M23" s="334"/>
    </row>
    <row r="24" spans="1:13">
      <c r="M24" s="138" t="s">
        <v>209</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4"/>
  <sheetViews>
    <sheetView view="pageBreakPreview" zoomScale="55" zoomScaleNormal="55" zoomScaleSheetLayoutView="55" workbookViewId="0">
      <selection activeCell="A3" sqref="A3"/>
    </sheetView>
  </sheetViews>
  <sheetFormatPr defaultRowHeight="18.75"/>
  <cols>
    <col min="15" max="15" width="8.875" customWidth="1"/>
  </cols>
  <sheetData>
    <row r="1" spans="1:28">
      <c r="A1" s="335" t="s">
        <v>304</v>
      </c>
      <c r="B1" s="336"/>
      <c r="C1" s="336"/>
      <c r="D1" s="336"/>
      <c r="E1" s="336"/>
      <c r="F1" s="336"/>
      <c r="G1" s="336"/>
      <c r="H1" s="336"/>
      <c r="AB1" s="157">
        <f>改修履歴!A1</f>
        <v>0.99</v>
      </c>
    </row>
    <row r="2" spans="1:28">
      <c r="A2" s="336"/>
      <c r="B2" s="336"/>
      <c r="C2" s="336"/>
      <c r="D2" s="336"/>
      <c r="E2" s="336"/>
      <c r="F2" s="336"/>
      <c r="G2" s="336"/>
      <c r="H2" s="336"/>
    </row>
    <row r="54" spans="28:28">
      <c r="AB54" s="138" t="s">
        <v>210</v>
      </c>
    </row>
  </sheetData>
  <sheetProtection sheet="1" objects="1" scenarios="1"/>
  <mergeCells count="1">
    <mergeCell ref="A1:H2"/>
  </mergeCells>
  <phoneticPr fontId="1"/>
  <pageMargins left="0.7" right="0.7" top="0.75" bottom="0.75" header="0.3" footer="0.3"/>
  <pageSetup paperSize="9" scale="4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34"/>
  <sheetViews>
    <sheetView workbookViewId="0">
      <pane ySplit="2" topLeftCell="A3" activePane="bottomLeft" state="frozen"/>
      <selection pane="bottomLeft" activeCell="C30" sqref="C30"/>
    </sheetView>
  </sheetViews>
  <sheetFormatPr defaultRowHeight="18.75"/>
  <cols>
    <col min="1" max="1" width="7.25" customWidth="1"/>
    <col min="2" max="2" width="11.375" bestFit="1" customWidth="1"/>
    <col min="3" max="3" width="78.75" style="207" customWidth="1"/>
  </cols>
  <sheetData>
    <row r="1" spans="1:3" ht="26.25" thickBot="1">
      <c r="A1" s="337">
        <v>0.99</v>
      </c>
      <c r="B1" s="338"/>
      <c r="C1" s="205"/>
    </row>
    <row r="2" spans="1:3">
      <c r="A2" s="155" t="s">
        <v>232</v>
      </c>
      <c r="B2" s="156" t="s">
        <v>233</v>
      </c>
      <c r="C2" s="206" t="s">
        <v>236</v>
      </c>
    </row>
    <row r="3" spans="1:3">
      <c r="A3" s="52">
        <v>0.1</v>
      </c>
      <c r="B3" s="149">
        <v>44046</v>
      </c>
      <c r="C3" s="173" t="s">
        <v>255</v>
      </c>
    </row>
    <row r="4" spans="1:3">
      <c r="A4" s="52">
        <v>0.11</v>
      </c>
      <c r="B4" s="149">
        <v>44047</v>
      </c>
      <c r="C4" s="173" t="s">
        <v>234</v>
      </c>
    </row>
    <row r="5" spans="1:3">
      <c r="A5" s="52"/>
      <c r="B5" s="52"/>
      <c r="C5" s="173" t="s">
        <v>235</v>
      </c>
    </row>
    <row r="6" spans="1:3" ht="37.5">
      <c r="A6" s="52">
        <v>0.12</v>
      </c>
      <c r="B6" s="149">
        <v>44098</v>
      </c>
      <c r="C6" s="173" t="s">
        <v>237</v>
      </c>
    </row>
    <row r="7" spans="1:3" ht="37.5">
      <c r="A7" s="52"/>
      <c r="B7" s="52"/>
      <c r="C7" s="173" t="s">
        <v>238</v>
      </c>
    </row>
    <row r="8" spans="1:3">
      <c r="A8" s="52"/>
      <c r="B8" s="52"/>
      <c r="C8" s="173" t="s">
        <v>254</v>
      </c>
    </row>
    <row r="9" spans="1:3" ht="37.5">
      <c r="A9" s="52">
        <v>0.2</v>
      </c>
      <c r="B9" s="149">
        <v>44167</v>
      </c>
      <c r="C9" s="173" t="s">
        <v>256</v>
      </c>
    </row>
    <row r="10" spans="1:3" ht="37.5">
      <c r="A10" s="52"/>
      <c r="B10" s="52"/>
      <c r="C10" s="173" t="s">
        <v>258</v>
      </c>
    </row>
    <row r="11" spans="1:3">
      <c r="A11" s="52"/>
      <c r="B11" s="52"/>
      <c r="C11" s="173" t="s">
        <v>259</v>
      </c>
    </row>
    <row r="12" spans="1:3">
      <c r="A12" s="52"/>
      <c r="B12" s="52"/>
      <c r="C12" s="173" t="s">
        <v>261</v>
      </c>
    </row>
    <row r="13" spans="1:3">
      <c r="A13" s="52"/>
      <c r="B13" s="52"/>
      <c r="C13" s="173" t="s">
        <v>262</v>
      </c>
    </row>
    <row r="14" spans="1:3">
      <c r="A14" s="52"/>
      <c r="B14" s="52"/>
      <c r="C14" s="173" t="s">
        <v>263</v>
      </c>
    </row>
    <row r="15" spans="1:3">
      <c r="A15" s="52"/>
      <c r="B15" s="52"/>
      <c r="C15" s="173" t="s">
        <v>264</v>
      </c>
    </row>
    <row r="16" spans="1:3">
      <c r="A16" s="52"/>
      <c r="B16" s="52"/>
      <c r="C16" s="173" t="s">
        <v>267</v>
      </c>
    </row>
    <row r="17" spans="1:3">
      <c r="A17" s="52">
        <v>0.21</v>
      </c>
      <c r="B17" s="149">
        <v>44189</v>
      </c>
      <c r="C17" s="173" t="s">
        <v>268</v>
      </c>
    </row>
    <row r="18" spans="1:3">
      <c r="A18" s="52"/>
      <c r="B18" s="52"/>
      <c r="C18" s="173" t="s">
        <v>269</v>
      </c>
    </row>
    <row r="19" spans="1:3" ht="37.5">
      <c r="A19" s="52">
        <v>0.22</v>
      </c>
      <c r="B19" s="149">
        <v>44221</v>
      </c>
      <c r="C19" s="173" t="s">
        <v>275</v>
      </c>
    </row>
    <row r="20" spans="1:3" ht="37.5">
      <c r="A20" s="52"/>
      <c r="B20" s="52"/>
      <c r="C20" s="173" t="s">
        <v>276</v>
      </c>
    </row>
    <row r="21" spans="1:3">
      <c r="A21" s="52">
        <v>0.23</v>
      </c>
      <c r="B21" s="149">
        <v>44323</v>
      </c>
      <c r="C21" s="173" t="s">
        <v>280</v>
      </c>
    </row>
    <row r="22" spans="1:3" ht="56.25">
      <c r="A22" s="172">
        <v>0.24</v>
      </c>
      <c r="B22" s="149">
        <v>44371</v>
      </c>
      <c r="C22" s="173" t="s">
        <v>281</v>
      </c>
    </row>
    <row r="23" spans="1:3">
      <c r="A23" s="172">
        <v>1</v>
      </c>
      <c r="B23" s="149">
        <v>44371</v>
      </c>
      <c r="C23" s="173" t="s">
        <v>282</v>
      </c>
    </row>
    <row r="24" spans="1:3">
      <c r="A24" s="52">
        <v>0</v>
      </c>
      <c r="B24" s="149">
        <v>44552</v>
      </c>
      <c r="C24" s="173" t="s">
        <v>283</v>
      </c>
    </row>
    <row r="25" spans="1:3">
      <c r="A25" s="339">
        <v>0.01</v>
      </c>
      <c r="B25" s="149">
        <v>44573</v>
      </c>
      <c r="C25" s="173" t="s">
        <v>297</v>
      </c>
    </row>
    <row r="26" spans="1:3">
      <c r="A26" s="340"/>
      <c r="B26" s="52"/>
      <c r="C26" s="173" t="s">
        <v>298</v>
      </c>
    </row>
    <row r="27" spans="1:3">
      <c r="A27" s="172">
        <v>0.99</v>
      </c>
      <c r="B27" s="149">
        <v>44656</v>
      </c>
      <c r="C27" s="173" t="s">
        <v>302</v>
      </c>
    </row>
    <row r="28" spans="1:3">
      <c r="A28" s="52"/>
      <c r="B28" s="52"/>
      <c r="C28" s="173"/>
    </row>
    <row r="29" spans="1:3">
      <c r="A29" s="52"/>
      <c r="B29" s="52"/>
      <c r="C29" s="173"/>
    </row>
    <row r="30" spans="1:3">
      <c r="A30" s="52"/>
      <c r="B30" s="52"/>
      <c r="C30" s="173"/>
    </row>
    <row r="31" spans="1:3">
      <c r="A31" s="52"/>
      <c r="B31" s="52"/>
      <c r="C31" s="173"/>
    </row>
    <row r="32" spans="1:3">
      <c r="A32" s="52"/>
      <c r="B32" s="52"/>
      <c r="C32" s="173"/>
    </row>
    <row r="33" spans="1:3">
      <c r="A33" s="52"/>
      <c r="B33" s="52"/>
      <c r="C33" s="173"/>
    </row>
    <row r="34" spans="1:3">
      <c r="A34" s="52"/>
      <c r="B34" s="52"/>
      <c r="C34" s="173"/>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2022-04-05T01:02:03Z</cp:lastPrinted>
  <dcterms:created xsi:type="dcterms:W3CDTF">2020-01-20T06:10:49Z</dcterms:created>
  <dcterms:modified xsi:type="dcterms:W3CDTF">2022-06-24T04:58:54Z</dcterms:modified>
</cp:coreProperties>
</file>